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dosgerais\Jucier Paiva LICITACÃO\"/>
    </mc:Choice>
  </mc:AlternateContent>
  <bookViews>
    <workbookView xWindow="0" yWindow="0" windowWidth="14370" windowHeight="403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Domiciliar'!$A$1:$F$287</definedName>
    <definedName name="_xlnm.Print_Area" localSheetId="1">'2.Encargos Sociais'!$A$1:$C$36</definedName>
    <definedName name="_xlnm.Print_Titles" localSheetId="0">'1. Coleta Domiciliar'!#REF!</definedName>
  </definedNames>
  <calcPr calcId="152511"/>
</workbook>
</file>

<file path=xl/calcChain.xml><?xml version="1.0" encoding="utf-8"?>
<calcChain xmlns="http://schemas.openxmlformats.org/spreadsheetml/2006/main">
  <c r="C208" i="2" l="1"/>
  <c r="C207" i="2"/>
  <c r="C209" i="2"/>
  <c r="A25" i="2" l="1"/>
  <c r="A24" i="2"/>
  <c r="A23" i="2"/>
  <c r="A15" i="2"/>
  <c r="A14" i="2"/>
  <c r="A6" i="2"/>
  <c r="C18" i="9" l="1"/>
  <c r="C10" i="9"/>
  <c r="C11" i="9" s="1"/>
  <c r="C12" i="9" l="1"/>
  <c r="C14" i="9"/>
  <c r="C19" i="9" s="1"/>
  <c r="C21" i="9" s="1"/>
  <c r="C178" i="2"/>
  <c r="C183" i="2"/>
  <c r="E34" i="2" l="1"/>
  <c r="E32" i="2"/>
  <c r="C202" i="2" l="1"/>
  <c r="C197" i="2"/>
  <c r="D227" i="2"/>
  <c r="D225" i="2"/>
  <c r="D223" i="2"/>
  <c r="D157" i="2" l="1"/>
  <c r="E157" i="2" s="1"/>
  <c r="E141" i="2"/>
  <c r="E142" i="2"/>
  <c r="E143" i="2"/>
  <c r="E144" i="2"/>
  <c r="E145" i="2"/>
  <c r="E146" i="2"/>
  <c r="E147" i="2"/>
  <c r="E148" i="2"/>
  <c r="E149" i="2"/>
  <c r="E140" i="2"/>
  <c r="D49" i="2" l="1"/>
  <c r="E49" i="2" s="1"/>
  <c r="D48" i="2"/>
  <c r="E48" i="2" s="1"/>
  <c r="D81" i="2"/>
  <c r="E81" i="2" s="1"/>
  <c r="C100" i="2"/>
  <c r="D50" i="2" l="1"/>
  <c r="E50" i="2" s="1"/>
  <c r="C103" i="2"/>
  <c r="D82" i="2"/>
  <c r="E82" i="2" s="1"/>
  <c r="D83" i="2" s="1"/>
  <c r="E83" i="2" s="1"/>
  <c r="C68" i="2"/>
  <c r="C65" i="2"/>
  <c r="C242" i="2" l="1"/>
  <c r="D95" i="2"/>
  <c r="A22" i="2"/>
  <c r="A21" i="2"/>
  <c r="A20" i="2"/>
  <c r="A19" i="2"/>
  <c r="A18" i="2"/>
  <c r="A17" i="2"/>
  <c r="A16" i="2"/>
  <c r="A13" i="2"/>
  <c r="A12" i="2"/>
  <c r="A11" i="2"/>
  <c r="A10" i="2"/>
  <c r="A9" i="2"/>
  <c r="A8" i="2"/>
  <c r="A7" i="2"/>
  <c r="C17" i="8"/>
  <c r="E267" i="2"/>
  <c r="E211" i="2"/>
  <c r="E203" i="2"/>
  <c r="E187" i="2"/>
  <c r="E165" i="2"/>
  <c r="E152" i="2"/>
  <c r="E131" i="2"/>
  <c r="E111" i="2"/>
  <c r="E90" i="2"/>
  <c r="E75" i="2"/>
  <c r="E56" i="2"/>
  <c r="D191" i="2"/>
  <c r="C18" i="4"/>
  <c r="F11" i="4"/>
  <c r="E11" i="4"/>
  <c r="D11" i="4"/>
  <c r="C14" i="8"/>
  <c r="C34" i="5"/>
  <c r="C29" i="5"/>
  <c r="C28" i="8" s="1"/>
  <c r="C28" i="5"/>
  <c r="C106" i="2"/>
  <c r="C97" i="2"/>
  <c r="D94" i="2"/>
  <c r="D100" i="2" s="1"/>
  <c r="E100" i="2" s="1"/>
  <c r="E79" i="2"/>
  <c r="D118" i="2" s="1"/>
  <c r="C118" i="2"/>
  <c r="C240" i="2"/>
  <c r="E240" i="2" s="1"/>
  <c r="C219" i="2"/>
  <c r="C221" i="2" s="1"/>
  <c r="E221" i="2" s="1"/>
  <c r="D228" i="2"/>
  <c r="E175" i="2"/>
  <c r="D196" i="2"/>
  <c r="C184" i="2"/>
  <c r="C179" i="2"/>
  <c r="C62" i="2"/>
  <c r="D60" i="2"/>
  <c r="C263" i="2"/>
  <c r="C265" i="2" s="1"/>
  <c r="E265" i="2" s="1"/>
  <c r="D266" i="2" s="1"/>
  <c r="E266" i="2" s="1"/>
  <c r="C180" i="2"/>
  <c r="C196" i="2" s="1"/>
  <c r="C117" i="2"/>
  <c r="A31" i="2"/>
  <c r="A32" i="2"/>
  <c r="A33" i="2"/>
  <c r="A34" i="2"/>
  <c r="A38" i="2"/>
  <c r="E47" i="2"/>
  <c r="D117" i="2" s="1"/>
  <c r="C70" i="2"/>
  <c r="A123" i="2"/>
  <c r="A129" i="2" s="1"/>
  <c r="A124" i="2"/>
  <c r="A130" i="2" s="1"/>
  <c r="E150" i="2"/>
  <c r="D158" i="2"/>
  <c r="E158" i="2" s="1"/>
  <c r="D159" i="2"/>
  <c r="E159" i="2" s="1"/>
  <c r="E160" i="2"/>
  <c r="D161" i="2"/>
  <c r="E161" i="2" s="1"/>
  <c r="D162" i="2"/>
  <c r="E162" i="2" s="1"/>
  <c r="E163" i="2"/>
  <c r="E238" i="2"/>
  <c r="E209" i="2"/>
  <c r="E208" i="2"/>
  <c r="E251" i="2"/>
  <c r="E254" i="2"/>
  <c r="E255" i="2"/>
  <c r="E252" i="2"/>
  <c r="E253" i="2"/>
  <c r="D106" i="2"/>
  <c r="D85" i="2" l="1"/>
  <c r="E85" i="2" s="1"/>
  <c r="E86" i="2" s="1"/>
  <c r="D178" i="2"/>
  <c r="D207" i="2"/>
  <c r="C27" i="8"/>
  <c r="G28" i="5"/>
  <c r="C39" i="5"/>
  <c r="E37" i="5"/>
  <c r="D37" i="5" s="1"/>
  <c r="D38" i="5" s="1"/>
  <c r="C38" i="5" s="1"/>
  <c r="C24" i="8" s="1"/>
  <c r="C32" i="8" s="1"/>
  <c r="D68" i="2"/>
  <c r="E68" i="2" s="1"/>
  <c r="D63" i="2"/>
  <c r="E63" i="2" s="1"/>
  <c r="E94" i="2"/>
  <c r="D98" i="2"/>
  <c r="E98" i="2" s="1"/>
  <c r="D101" i="2"/>
  <c r="E101" i="2" s="1"/>
  <c r="D103" i="2"/>
  <c r="E103" i="2" s="1"/>
  <c r="D97" i="2"/>
  <c r="E97" i="2" s="1"/>
  <c r="D66" i="2"/>
  <c r="E66" i="2" s="1"/>
  <c r="D65" i="2"/>
  <c r="E65" i="2" s="1"/>
  <c r="C225" i="2"/>
  <c r="E225" i="2" s="1"/>
  <c r="D62" i="2"/>
  <c r="E62" i="2" s="1"/>
  <c r="E106" i="2"/>
  <c r="C227" i="2"/>
  <c r="E227" i="2" s="1"/>
  <c r="F256" i="2"/>
  <c r="F258" i="2" s="1"/>
  <c r="E23" i="2" s="1"/>
  <c r="E124" i="2"/>
  <c r="E219" i="2"/>
  <c r="E60" i="2"/>
  <c r="E180" i="2"/>
  <c r="C198" i="2" s="1"/>
  <c r="D151" i="2"/>
  <c r="E123" i="2"/>
  <c r="C151" i="2"/>
  <c r="E35" i="2"/>
  <c r="C129" i="2"/>
  <c r="E129" i="2" s="1"/>
  <c r="E117" i="2"/>
  <c r="E196" i="2"/>
  <c r="C130" i="2"/>
  <c r="E130" i="2" s="1"/>
  <c r="D51" i="2"/>
  <c r="E51" i="2" s="1"/>
  <c r="E52" i="2" s="1"/>
  <c r="D53" i="2" s="1"/>
  <c r="C164" i="2"/>
  <c r="C223" i="2"/>
  <c r="E223" i="2" s="1"/>
  <c r="C233" i="2"/>
  <c r="E233" i="2" s="1"/>
  <c r="F234" i="2" s="1"/>
  <c r="E21" i="2" s="1"/>
  <c r="E263" i="2"/>
  <c r="D264" i="2" s="1"/>
  <c r="E264" i="2" s="1"/>
  <c r="F267" i="2" s="1"/>
  <c r="F269" i="2" s="1"/>
  <c r="E24" i="2" s="1"/>
  <c r="E191" i="2"/>
  <c r="D241" i="2"/>
  <c r="E241" i="2" s="1"/>
  <c r="E242" i="2" s="1"/>
  <c r="F243" i="2" s="1"/>
  <c r="E22" i="2" s="1"/>
  <c r="E118" i="2"/>
  <c r="E178" i="2"/>
  <c r="D164" i="2"/>
  <c r="D179" i="2" l="1"/>
  <c r="E179" i="2" s="1"/>
  <c r="E207" i="2"/>
  <c r="D210" i="2" s="1"/>
  <c r="E210" i="2" s="1"/>
  <c r="F211" i="2" s="1"/>
  <c r="E19" i="2" s="1"/>
  <c r="C193" i="2"/>
  <c r="C194" i="2" s="1"/>
  <c r="D195" i="2" s="1"/>
  <c r="E195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D69" i="2"/>
  <c r="E69" i="2" s="1"/>
  <c r="D70" i="2" s="1"/>
  <c r="E70" i="2" s="1"/>
  <c r="D104" i="2"/>
  <c r="E104" i="2" s="1"/>
  <c r="F125" i="2"/>
  <c r="E12" i="2" s="1"/>
  <c r="F131" i="2"/>
  <c r="E13" i="2" s="1"/>
  <c r="E164" i="2"/>
  <c r="F165" i="2" s="1"/>
  <c r="E151" i="2"/>
  <c r="F152" i="2" s="1"/>
  <c r="D183" i="2"/>
  <c r="E183" i="2" s="1"/>
  <c r="D184" i="2" s="1"/>
  <c r="E184" i="2" s="1"/>
  <c r="F119" i="2"/>
  <c r="E11" i="2" s="1"/>
  <c r="F229" i="2"/>
  <c r="E20" i="2" s="1"/>
  <c r="D87" i="2"/>
  <c r="C29" i="8" l="1"/>
  <c r="C34" i="8" s="1"/>
  <c r="G38" i="5"/>
  <c r="G32" i="5"/>
  <c r="E185" i="2"/>
  <c r="D186" i="2" s="1"/>
  <c r="E186" i="2" s="1"/>
  <c r="F187" i="2" s="1"/>
  <c r="E17" i="2" s="1"/>
  <c r="C199" i="2"/>
  <c r="D200" i="2" s="1"/>
  <c r="E200" i="2" s="1"/>
  <c r="E201" i="2" s="1"/>
  <c r="D202" i="2" s="1"/>
  <c r="E202" i="2" s="1"/>
  <c r="F203" i="2" s="1"/>
  <c r="F167" i="2"/>
  <c r="E14" i="2" s="1"/>
  <c r="E107" i="2"/>
  <c r="D108" i="2" s="1"/>
  <c r="E71" i="2"/>
  <c r="C87" i="2" l="1"/>
  <c r="C53" i="2"/>
  <c r="E53" i="2" s="1"/>
  <c r="E54" i="2" s="1"/>
  <c r="D55" i="2" s="1"/>
  <c r="E55" i="2" s="1"/>
  <c r="F56" i="2" s="1"/>
  <c r="E7" i="2" s="1"/>
  <c r="C108" i="2"/>
  <c r="C72" i="2"/>
  <c r="E18" i="2"/>
  <c r="E16" i="2" s="1"/>
  <c r="F246" i="2"/>
  <c r="E15" i="2" s="1"/>
  <c r="D72" i="2"/>
  <c r="E72" i="2" l="1"/>
  <c r="E73" i="2" s="1"/>
  <c r="D74" i="2" s="1"/>
  <c r="E74" i="2" s="1"/>
  <c r="F75" i="2" s="1"/>
  <c r="E8" i="2" s="1"/>
  <c r="E108" i="2"/>
  <c r="E109" i="2" s="1"/>
  <c r="D110" i="2" s="1"/>
  <c r="E110" i="2" s="1"/>
  <c r="F111" i="2" s="1"/>
  <c r="E10" i="2" s="1"/>
  <c r="E87" i="2"/>
  <c r="E88" i="2" s="1"/>
  <c r="D89" i="2" s="1"/>
  <c r="E89" i="2" s="1"/>
  <c r="F90" i="2" s="1"/>
  <c r="E9" i="2" s="1"/>
  <c r="F133" i="2" l="1"/>
  <c r="F271" i="2" s="1"/>
  <c r="E6" i="2" l="1"/>
  <c r="D276" i="2"/>
  <c r="E276" i="2" s="1"/>
  <c r="F277" i="2" s="1"/>
  <c r="F279" i="2" s="1"/>
  <c r="E25" i="2" s="1"/>
  <c r="E26" i="2" l="1"/>
  <c r="F6" i="2" s="1"/>
  <c r="F282" i="2"/>
  <c r="F24" i="2" l="1"/>
  <c r="F8" i="2"/>
  <c r="F14" i="2"/>
  <c r="F7" i="2"/>
  <c r="F13" i="2"/>
  <c r="F10" i="2"/>
  <c r="F15" i="2"/>
  <c r="F22" i="2"/>
  <c r="F21" i="2"/>
  <c r="F9" i="2"/>
  <c r="F16" i="2"/>
  <c r="F17" i="2"/>
  <c r="F18" i="2"/>
  <c r="F12" i="2"/>
  <c r="F19" i="2"/>
  <c r="F11" i="2"/>
  <c r="F23" i="2"/>
  <c r="F20" i="2"/>
  <c r="F25" i="2"/>
  <c r="F26" i="2" l="1"/>
</calcChain>
</file>

<file path=xl/comments1.xml><?xml version="1.0" encoding="utf-8"?>
<comments xmlns="http://schemas.openxmlformats.org/spreadsheetml/2006/main">
  <authors>
    <author>Clauber Bridi</author>
  </authors>
  <commentList>
    <comment ref="A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4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5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6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6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6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6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6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7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8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8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8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8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8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9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9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0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0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0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1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1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1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1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1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23" authorId="0" shape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24" authorId="0" shape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129" authorId="0" shape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130" authorId="0" shape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14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4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4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6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7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7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7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7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8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8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8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9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0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0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21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1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2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2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2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2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2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2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2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2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3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3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3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3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4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4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5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60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7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 shape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0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3" authorId="0" shape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0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<sst xmlns="http://schemas.openxmlformats.org/spreadsheetml/2006/main" count="591" uniqueCount="313">
  <si>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</si>
  <si>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</si>
  <si>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</si>
  <si>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</si>
  <si>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</si>
  <si>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</si>
  <si>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</si>
  <si>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</si>
  <si>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</si>
  <si>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</si>
  <si>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</si>
  <si>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</si>
  <si>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</si>
  <si>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</si>
  <si>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</si>
  <si>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</si>
  <si>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</si>
  <si>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</si>
  <si>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</si>
  <si>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</si>
  <si>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</si>
  <si>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</si>
  <si>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</si>
  <si>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</si>
  <si>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</si>
  <si>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</si>
  <si>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</si>
  <si>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</si>
  <si>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</si>
  <si>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</si>
  <si>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</si>
  <si>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</si>
  <si>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</si>
  <si>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</si>
  <si>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</si>
  <si>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</si>
  <si>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</si>
  <si>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</si>
  <si>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</si>
  <si>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</si>
  <si>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</si>
  <si>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</si>
  <si>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</si>
  <si>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</si>
  <si>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</si>
  <si>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</si>
  <si>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</si>
  <si>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</si>
  <si>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</si>
  <si>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</si>
  <si>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</si>
  <si>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</si>
  <si>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</si>
  <si>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</si>
  <si>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</si>
  <si>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</si>
  <si>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</si>
  <si>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</si>
  <si>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</si>
  <si>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</si>
  <si>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</si>
  <si>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</si>
  <si>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</si>
  <si>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</si>
  <si>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</si>
  <si>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</si>
  <si>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</si>
  <si>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</si>
  <si>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</si>
  <si>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</si>
  <si>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</si>
  <si>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</si>
  <si>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</si>
  <si>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</si>
  <si>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</si>
  <si>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</si>
  <si>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</si>
  <si>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</si>
  <si>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</si>
  <si>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</si>
  <si>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</si>
  <si>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</si>
  <si>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</si>
  <si>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</si>
  <si>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</si>
  <si>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</si>
  <si>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</si>
  <si>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</si>
  <si>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</si>
  <si>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</si>
  <si>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</si>
  <si>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</si>
  <si>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</si>
  <si>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</si>
  <si>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</si>
  <si>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</si>
  <si>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</si>
  <si>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</si>
  <si>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</si>
  <si>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</si>
  <si>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</si>
  <si>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</si>
  <si>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</si>
  <si>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</si>
  <si>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</si>
  <si>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</si>
  <si>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</si>
  <si>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</si>
  <si>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</si>
  <si>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</si>
  <si>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</si>
  <si>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</si>
  <si>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</si>
  <si>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</si>
  <si>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</si>
  <si>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</si>
  <si>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</si>
  <si>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</si>
  <si>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</si>
  <si>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</si>
  <si>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</si>
  <si>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</si>
  <si>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</si>
  <si>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</si>
  <si>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</si>
  <si>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</si>
  <si>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</si>
  <si>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</si>
  <si>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</si>
  <si>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</si>
  <si>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</si>
  <si>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</si>
  <si>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</si>
  <si>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</si>
  <si>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</si>
  <si>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</si>
  <si>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</si>
  <si>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</si>
  <si>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</si>
  <si>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</si>
  <si>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</si>
  <si>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</si>
  <si>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</si>
  <si>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</si>
  <si>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</si>
  <si>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</si>
  <si>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</si>
  <si>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</si>
  <si>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</si>
  <si>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</si>
  <si>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</si>
  <si>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</si>
  <si>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</si>
  <si>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</si>
  <si>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</si>
  <si>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</si>
  <si>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</si>
  <si>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</si>
  <si>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</si>
  <si>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</si>
  <si>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</si>
  <si>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</si>
  <si>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</si>
  <si>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</si>
  <si>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</si>
  <si>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</si>
  <si>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</si>
  <si>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</si>
  <si>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</si>
  <si>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</si>
  <si>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</si>
  <si>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</si>
  <si>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</si>
  <si>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</si>
  <si>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</si>
  <si>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</si>
  <si>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</si>
  <si>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</si>
  <si>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</si>
  <si>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</si>
  <si>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</si>
  <si>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</si>
  <si>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</si>
  <si>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</si>
  <si>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</si>
  <si>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</si>
  <si>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</si>
  <si>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</si>
  <si>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</si>
  <si>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</si>
  <si>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</si>
  <si>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</si>
  <si>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</si>
  <si>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</si>
  <si>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</si>
  <si>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</si>
  <si>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</si>
  <si>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</si>
  <si>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</si>
  <si>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</si>
  <si>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</si>
  <si>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</si>
  <si>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</si>
  <si>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</si>
  <si>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</si>
  <si>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</si>
  <si>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</si>
  <si>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</si>
  <si>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</si>
  <si>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</si>
  <si>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</si>
  <si>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</si>
  <si>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</si>
  <si>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</si>
  <si>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</si>
  <si>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</si>
  <si>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</si>
  <si>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</si>
  <si>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</si>
  <si>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</si>
  <si>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4. Nível Setorial: selecione "Classe de atividade econômica segundo a classificação CNAE – versão 2.0 (669 categorias)" e marque a opção "38114 – Coleta de Resíduos Não-Perigosos"</t>
  </si>
  <si>
    <t>5. Clique em Gerar Relatório</t>
  </si>
  <si>
    <t>Para preencher esta planilha siga os passos 1 a 5: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</si>
  <si>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</si>
  <si>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</si>
  <si>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</si>
  <si>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</si>
  <si>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</si>
  <si>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</si>
  <si>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</si>
  <si>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Salário mínimo nacional</t>
  </si>
  <si>
    <t>Base de cálculo da Insalubridade</t>
  </si>
  <si>
    <t>Piso da categoria (1)</t>
  </si>
  <si>
    <t>Salário mínimo nacional (2)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</si>
  <si>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</si>
  <si>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</si>
  <si>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</si>
  <si>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</si>
  <si>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</si>
  <si>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</si>
  <si>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</si>
  <si>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</si>
  <si>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</si>
  <si>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</si>
  <si>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</si>
  <si>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</si>
  <si>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</si>
  <si>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</si>
  <si>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</si>
  <si>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</si>
  <si>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</si>
  <si>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</si>
  <si>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</si>
  <si>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</si>
  <si>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</si>
  <si>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</si>
  <si>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</si>
  <si>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</si>
  <si>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</si>
  <si>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</si>
  <si>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</si>
  <si>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</si>
  <si>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</si>
  <si>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</si>
  <si>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</si>
  <si>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</si>
  <si>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</si>
  <si>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</si>
  <si>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</si>
  <si>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</si>
  <si>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</si>
  <si>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</si>
  <si>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</si>
  <si>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</si>
  <si>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</si>
  <si>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</si>
  <si>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</si>
  <si>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</si>
  <si>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</si>
  <si>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</si>
  <si>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</si>
  <si>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</si>
  <si>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</si>
  <si>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</si>
  <si>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</si>
  <si>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</si>
  <si>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</si>
  <si>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</si>
  <si>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</si>
  <si>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</si>
  <si>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</si>
  <si>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</si>
  <si>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</si>
  <si>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</si>
  <si>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</si>
  <si>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</si>
  <si>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</si>
  <si>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</si>
  <si>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</si>
  <si>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</si>
  <si>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</si>
  <si>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</si>
  <si>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</si>
  <si>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</si>
  <si>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</si>
  <si>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</si>
  <si>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</si>
  <si>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3. Preencher somente células em amarelo</t>
  </si>
  <si>
    <t>Depreciação Média</t>
  </si>
  <si>
    <t>2. Dimensionar separadamente setores atendidos por veículos de capacidade de carga diferentes.</t>
  </si>
  <si>
    <r>
      <t>3.1. Veículo Coletor Compactador</t>
    </r>
    <r>
      <rPr>
        <sz val="10"/>
        <color indexed="10"/>
        <rFont val="Arial"/>
        <family val="2"/>
      </rPr>
      <t xml:space="preserve"> </t>
    </r>
  </si>
  <si>
    <t>SELIC</t>
  </si>
  <si>
    <t>1. Coleta de Resíduos Seletiva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</si>
</sst>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38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7" fontId="6" fillId="0" borderId="1" xfId="3" applyNumberFormat="1" applyFont="1" applyBorder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6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9" xfId="0" applyFont="1" applyBorder="1"/>
    <xf numFmtId="0" fontId="18" fillId="0" borderId="46" xfId="0" applyFont="1" applyBorder="1"/>
    <xf numFmtId="0" fontId="18" fillId="0" borderId="50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9" fontId="7" fillId="0" borderId="46" xfId="0" applyNumberFormat="1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70" fontId="18" fillId="0" borderId="46" xfId="0" applyNumberFormat="1" applyFont="1" applyBorder="1"/>
    <xf numFmtId="170" fontId="7" fillId="0" borderId="46" xfId="0" applyNumberFormat="1" applyFont="1" applyBorder="1"/>
    <xf numFmtId="170" fontId="7" fillId="0" borderId="29" xfId="0" applyNumberFormat="1" applyFont="1" applyBorder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6" fontId="3" fillId="0" borderId="54" xfId="3" applyFont="1" applyBorder="1" applyAlignment="1">
      <alignment horizontal="center" vertical="center"/>
    </xf>
    <xf numFmtId="166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17"/>
  <sheetViews>
    <sheetView tabSelected="1" view="pageBreakPreview" topLeftCell="A265" zoomScaleNormal="100" zoomScaleSheetLayoutView="100" workbookViewId="0">
      <selection activeCell="D247" sqref="D247"/>
    </sheetView>
  </sheetViews>
  <sheetFormatPr defaultRowHeight="12.75" x14ac:dyDescent="0.2"/>
  <cols>
    <col min="1" max="1" width="44.5703125" style="8" customWidth="1"/>
    <col min="2" max="2" width="16" style="8" bestFit="1" customWidth="1"/>
    <col min="3" max="3" width="11.85546875" style="8" customWidth="1"/>
    <col min="4" max="4" width="14.7109375" style="9" customWidth="1"/>
    <col min="5" max="5" width="15.42578125" style="9" customWidth="1"/>
    <col min="6" max="6" width="13.28515625" style="9" customWidth="1"/>
    <col min="7" max="7" width="28.140625" style="9" customWidth="1"/>
    <col min="8" max="8" width="9.140625" style="8"/>
    <col min="9" max="9" width="14.5703125" style="8" customWidth="1"/>
    <col min="10" max="10" width="13.42578125" style="8" customWidth="1"/>
    <col min="11" max="16384" width="9.140625" style="8"/>
  </cols>
  <sheetData>
    <row r="1" spans="1:7" s="7" customFormat="1" ht="18" x14ac:dyDescent="0.2">
      <c r="A1" s="306" t="s">
        <v>312</v>
      </c>
      <c r="B1" s="307"/>
      <c r="C1" s="307"/>
      <c r="D1" s="307"/>
      <c r="E1" s="307"/>
      <c r="F1" s="308"/>
      <c r="G1" s="35"/>
    </row>
    <row r="2" spans="1:7" s="7" customFormat="1" ht="21.75" customHeight="1" x14ac:dyDescent="0.2">
      <c r="A2" s="309" t="s">
        <v>43</v>
      </c>
      <c r="B2" s="310"/>
      <c r="C2" s="310"/>
      <c r="D2" s="310"/>
      <c r="E2" s="310"/>
      <c r="F2" s="311"/>
      <c r="G2" s="35"/>
    </row>
    <row r="3" spans="1:7" s="4" customFormat="1" ht="10.9" customHeight="1" thickBot="1" x14ac:dyDescent="0.25">
      <c r="A3" s="148"/>
      <c r="B3" s="149"/>
      <c r="C3" s="149"/>
      <c r="D3" s="150"/>
      <c r="E3" s="150"/>
      <c r="F3" s="151"/>
      <c r="G3" s="5"/>
    </row>
    <row r="4" spans="1:7" s="4" customFormat="1" ht="15.75" customHeight="1" thickBot="1" x14ac:dyDescent="0.25">
      <c r="A4" s="315" t="s">
        <v>214</v>
      </c>
      <c r="B4" s="316"/>
      <c r="C4" s="316"/>
      <c r="D4" s="316"/>
      <c r="E4" s="316"/>
      <c r="F4" s="317"/>
      <c r="G4" s="5"/>
    </row>
    <row r="5" spans="1:7" s="4" customFormat="1" ht="15.75" customHeight="1" x14ac:dyDescent="0.2">
      <c r="A5" s="63" t="s">
        <v>213</v>
      </c>
      <c r="B5" s="39"/>
      <c r="C5" s="39"/>
      <c r="D5" s="255"/>
      <c r="E5" s="114" t="s">
        <v>38</v>
      </c>
      <c r="F5" s="40" t="s">
        <v>2</v>
      </c>
      <c r="G5" s="5"/>
    </row>
    <row r="6" spans="1:7" s="10" customFormat="1" ht="15.75" customHeight="1" x14ac:dyDescent="0.2">
      <c r="A6" s="124" t="str">
        <f>A43</f>
        <v>1. Mão-de-obra</v>
      </c>
      <c r="B6" s="125"/>
      <c r="C6" s="126"/>
      <c r="D6" s="126"/>
      <c r="E6" s="252">
        <f>+F133</f>
        <v>10785.883290999998</v>
      </c>
      <c r="F6" s="127">
        <f>IFERROR(E6/$E$26,0)</f>
        <v>0.64084426589335075</v>
      </c>
      <c r="G6" s="43"/>
    </row>
    <row r="7" spans="1:7" s="4" customFormat="1" ht="15.75" customHeight="1" x14ac:dyDescent="0.2">
      <c r="A7" s="48" t="str">
        <f>A45</f>
        <v>1.1. Coletor Turno Dia</v>
      </c>
      <c r="B7" s="44"/>
      <c r="C7" s="46"/>
      <c r="D7" s="46"/>
      <c r="E7" s="253">
        <f>F56</f>
        <v>6643.9221939999998</v>
      </c>
      <c r="F7" s="57">
        <f>IFERROR(E7/$E$26,0)</f>
        <v>0.39474925939716171</v>
      </c>
      <c r="G7" s="5"/>
    </row>
    <row r="8" spans="1:7" s="4" customFormat="1" ht="15.75" customHeight="1" x14ac:dyDescent="0.2">
      <c r="A8" s="48" t="str">
        <f>A58</f>
        <v>1.2. Coletor Turno Noite</v>
      </c>
      <c r="B8" s="44"/>
      <c r="C8" s="46"/>
      <c r="D8" s="46"/>
      <c r="E8" s="253">
        <f>F75</f>
        <v>0</v>
      </c>
      <c r="F8" s="57">
        <f t="shared" ref="F8:F25" si="0">IFERROR(E8/$E$26,0)</f>
        <v>0</v>
      </c>
      <c r="G8" s="5"/>
    </row>
    <row r="9" spans="1:7" s="4" customFormat="1" ht="15.75" customHeight="1" x14ac:dyDescent="0.2">
      <c r="A9" s="48" t="str">
        <f>A77</f>
        <v>1.3. Motorista Turno do Dia</v>
      </c>
      <c r="B9" s="44"/>
      <c r="C9" s="46"/>
      <c r="D9" s="46"/>
      <c r="E9" s="253">
        <f>F90</f>
        <v>3321.9610969999999</v>
      </c>
      <c r="F9" s="57">
        <f t="shared" si="0"/>
        <v>0.19737462969858086</v>
      </c>
      <c r="G9" s="5"/>
    </row>
    <row r="10" spans="1:7" s="4" customFormat="1" ht="15.75" customHeight="1" x14ac:dyDescent="0.2">
      <c r="A10" s="48" t="str">
        <f>A92</f>
        <v>1.4. Motorista Turno Noite</v>
      </c>
      <c r="B10" s="44"/>
      <c r="C10" s="46"/>
      <c r="D10" s="46"/>
      <c r="E10" s="253">
        <f>F111</f>
        <v>0</v>
      </c>
      <c r="F10" s="57">
        <f t="shared" si="0"/>
        <v>0</v>
      </c>
      <c r="G10" s="5"/>
    </row>
    <row r="11" spans="1:7" s="4" customFormat="1" ht="15.75" customHeight="1" x14ac:dyDescent="0.2">
      <c r="A11" s="48" t="str">
        <f>A113</f>
        <v>1.5. Vale Transporte</v>
      </c>
      <c r="B11" s="44"/>
      <c r="C11" s="46"/>
      <c r="D11" s="46"/>
      <c r="E11" s="253">
        <f>F119</f>
        <v>0</v>
      </c>
      <c r="F11" s="57">
        <f t="shared" si="0"/>
        <v>0</v>
      </c>
      <c r="G11" s="5"/>
    </row>
    <row r="12" spans="1:7" s="4" customFormat="1" ht="15.75" customHeight="1" x14ac:dyDescent="0.2">
      <c r="A12" s="48" t="str">
        <f>A121</f>
        <v>1.6. Vale-refeição (diário)</v>
      </c>
      <c r="B12" s="44"/>
      <c r="C12" s="46"/>
      <c r="D12" s="46"/>
      <c r="E12" s="253">
        <f>F125</f>
        <v>320</v>
      </c>
      <c r="F12" s="57">
        <f t="shared" si="0"/>
        <v>1.9012829969798372E-2</v>
      </c>
      <c r="G12" s="5"/>
    </row>
    <row r="13" spans="1:7" s="4" customFormat="1" ht="15.75" customHeight="1" x14ac:dyDescent="0.2">
      <c r="A13" s="48" t="str">
        <f>A127</f>
        <v>1.7. Auxílio Alimentação (mensal)</v>
      </c>
      <c r="B13" s="44"/>
      <c r="C13" s="46"/>
      <c r="D13" s="46"/>
      <c r="E13" s="253">
        <f>F131</f>
        <v>500</v>
      </c>
      <c r="F13" s="57">
        <f t="shared" si="0"/>
        <v>2.9707546827809954E-2</v>
      </c>
      <c r="G13" s="5"/>
    </row>
    <row r="14" spans="1:7" s="10" customFormat="1" ht="15.75" customHeight="1" x14ac:dyDescent="0.2">
      <c r="A14" s="304" t="str">
        <f>A135</f>
        <v>2. Uniformes e Equipamentos de Proteção Individual</v>
      </c>
      <c r="B14" s="305"/>
      <c r="C14" s="305"/>
      <c r="D14" s="126"/>
      <c r="E14" s="252">
        <f>+F167</f>
        <v>780.13666666666677</v>
      </c>
      <c r="F14" s="127">
        <f t="shared" si="0"/>
        <v>4.635189311418314E-2</v>
      </c>
      <c r="G14" s="43"/>
    </row>
    <row r="15" spans="1:7" s="10" customFormat="1" ht="15.75" customHeight="1" x14ac:dyDescent="0.2">
      <c r="A15" s="135" t="str">
        <f>A169</f>
        <v>3. Veículos e Equipamentos</v>
      </c>
      <c r="B15" s="136"/>
      <c r="C15" s="126"/>
      <c r="D15" s="126"/>
      <c r="E15" s="252">
        <f>+F246</f>
        <v>2379.2491381666664</v>
      </c>
      <c r="F15" s="127">
        <f t="shared" si="0"/>
        <v>0.14136331037422545</v>
      </c>
      <c r="G15" s="43"/>
    </row>
    <row r="16" spans="1:7" s="4" customFormat="1" ht="15.75" customHeight="1" x14ac:dyDescent="0.2">
      <c r="A16" s="64" t="str">
        <f>A171</f>
        <v xml:space="preserve">3.1. Veículo Coletor Compactador </v>
      </c>
      <c r="B16" s="45"/>
      <c r="C16" s="46"/>
      <c r="D16" s="46"/>
      <c r="E16" s="253">
        <f>SUM(E17:E22)</f>
        <v>2379.2491381666664</v>
      </c>
      <c r="F16" s="141">
        <f t="shared" si="0"/>
        <v>0.14136331037422545</v>
      </c>
      <c r="G16" s="5"/>
    </row>
    <row r="17" spans="1:7" s="4" customFormat="1" ht="15.75" customHeight="1" x14ac:dyDescent="0.2">
      <c r="A17" s="64" t="str">
        <f>A173</f>
        <v>3.1.1. Depreciação</v>
      </c>
      <c r="B17" s="45"/>
      <c r="C17" s="46"/>
      <c r="D17" s="46"/>
      <c r="E17" s="253">
        <f>F187</f>
        <v>357.40366666666671</v>
      </c>
      <c r="F17" s="141">
        <f t="shared" si="0"/>
        <v>2.1235172327861963E-2</v>
      </c>
      <c r="G17" s="5"/>
    </row>
    <row r="18" spans="1:7" s="4" customFormat="1" ht="15.75" customHeight="1" x14ac:dyDescent="0.2">
      <c r="A18" s="64" t="str">
        <f>A189</f>
        <v>3.1.2. Remuneração do Capital</v>
      </c>
      <c r="B18" s="45"/>
      <c r="C18" s="46"/>
      <c r="D18" s="46"/>
      <c r="E18" s="253">
        <f>F203</f>
        <v>143.13412749999998</v>
      </c>
      <c r="F18" s="141">
        <f t="shared" si="0"/>
        <v>8.5043275907279395E-3</v>
      </c>
      <c r="G18" s="5"/>
    </row>
    <row r="19" spans="1:7" s="4" customFormat="1" ht="15.75" customHeight="1" x14ac:dyDescent="0.2">
      <c r="A19" s="64" t="str">
        <f>A205</f>
        <v>3.1.3. Impostos e Seguros</v>
      </c>
      <c r="B19" s="45"/>
      <c r="C19" s="46"/>
      <c r="D19" s="46"/>
      <c r="E19" s="253">
        <f>F211</f>
        <v>212.5</v>
      </c>
      <c r="F19" s="141">
        <f t="shared" si="0"/>
        <v>1.2625707401819231E-2</v>
      </c>
      <c r="G19" s="5"/>
    </row>
    <row r="20" spans="1:7" s="4" customFormat="1" ht="15.75" customHeight="1" x14ac:dyDescent="0.2">
      <c r="A20" s="64" t="str">
        <f>A213</f>
        <v>3.1.4. Consumos</v>
      </c>
      <c r="B20" s="45"/>
      <c r="C20" s="46"/>
      <c r="D20" s="46"/>
      <c r="E20" s="253">
        <f>F229</f>
        <v>1279.0382239999999</v>
      </c>
      <c r="F20" s="141">
        <f t="shared" si="0"/>
        <v>7.5994175868077746E-2</v>
      </c>
      <c r="G20" s="5"/>
    </row>
    <row r="21" spans="1:7" s="4" customFormat="1" ht="15.75" customHeight="1" x14ac:dyDescent="0.2">
      <c r="A21" s="64" t="str">
        <f>A231</f>
        <v>3.1.5. Manutenção</v>
      </c>
      <c r="B21" s="45"/>
      <c r="C21" s="46"/>
      <c r="D21" s="46"/>
      <c r="E21" s="253">
        <f>F234</f>
        <v>362.05119999999999</v>
      </c>
      <c r="F21" s="141">
        <f t="shared" si="0"/>
        <v>2.1511305956129576E-2</v>
      </c>
      <c r="G21" s="5"/>
    </row>
    <row r="22" spans="1:7" s="4" customFormat="1" ht="15.75" customHeight="1" x14ac:dyDescent="0.2">
      <c r="A22" s="64" t="str">
        <f>A236</f>
        <v>3.1.6. Pneus</v>
      </c>
      <c r="B22" s="45"/>
      <c r="C22" s="46"/>
      <c r="D22" s="46"/>
      <c r="E22" s="253">
        <f>F243</f>
        <v>25.121920000000003</v>
      </c>
      <c r="F22" s="141">
        <f t="shared" si="0"/>
        <v>1.4926212296089911E-3</v>
      </c>
      <c r="G22" s="5"/>
    </row>
    <row r="23" spans="1:7" s="10" customFormat="1" ht="15.75" customHeight="1" x14ac:dyDescent="0.2">
      <c r="A23" s="135" t="str">
        <f>A248</f>
        <v>4. Ferramentas e Materiais de Consumo</v>
      </c>
      <c r="B23" s="136"/>
      <c r="C23" s="126"/>
      <c r="D23" s="126"/>
      <c r="E23" s="252">
        <f>+F258</f>
        <v>112.49999999999999</v>
      </c>
      <c r="F23" s="127">
        <f t="shared" si="0"/>
        <v>6.6841980362572391E-3</v>
      </c>
      <c r="G23" s="43"/>
    </row>
    <row r="24" spans="1:7" s="10" customFormat="1" ht="15.75" customHeight="1" x14ac:dyDescent="0.2">
      <c r="A24" s="135" t="str">
        <f>A260</f>
        <v>5. Monitoramento da Frota</v>
      </c>
      <c r="B24" s="136"/>
      <c r="C24" s="126"/>
      <c r="D24" s="126"/>
      <c r="E24" s="252">
        <f>+F269</f>
        <v>83.333333333333329</v>
      </c>
      <c r="F24" s="127">
        <f t="shared" si="0"/>
        <v>4.951257804634992E-3</v>
      </c>
      <c r="G24" s="43"/>
    </row>
    <row r="25" spans="1:7" s="10" customFormat="1" ht="15.75" customHeight="1" thickBot="1" x14ac:dyDescent="0.25">
      <c r="A25" s="135" t="str">
        <f>A273</f>
        <v>6. Benefícios e Despesas Indiretas - BDI</v>
      </c>
      <c r="B25" s="136"/>
      <c r="C25" s="126"/>
      <c r="D25" s="126"/>
      <c r="E25" s="254">
        <f>+F279</f>
        <v>2689.6376820274995</v>
      </c>
      <c r="F25" s="127">
        <f t="shared" si="0"/>
        <v>0.15980507477734832</v>
      </c>
      <c r="G25" s="43"/>
    </row>
    <row r="26" spans="1:7" s="4" customFormat="1" ht="15.75" customHeight="1" thickBot="1" x14ac:dyDescent="0.25">
      <c r="A26" s="41" t="s">
        <v>258</v>
      </c>
      <c r="B26" s="42"/>
      <c r="C26" s="25"/>
      <c r="D26" s="25"/>
      <c r="E26" s="113">
        <f>E6+E14+E15+E23+E24+E25</f>
        <v>16830.740111194165</v>
      </c>
      <c r="F26" s="140">
        <f>F6+F14+F15+F23+F24+F25</f>
        <v>0.99999999999999989</v>
      </c>
      <c r="G26" s="5"/>
    </row>
    <row r="28" spans="1:7" ht="13.5" thickBot="1" x14ac:dyDescent="0.25"/>
    <row r="29" spans="1:7" s="4" customFormat="1" ht="15" customHeight="1" thickBot="1" x14ac:dyDescent="0.25">
      <c r="A29" s="315" t="s">
        <v>100</v>
      </c>
      <c r="B29" s="316"/>
      <c r="C29" s="316"/>
      <c r="D29" s="316"/>
      <c r="E29" s="317"/>
      <c r="F29" s="9"/>
      <c r="G29" s="5"/>
    </row>
    <row r="30" spans="1:7" s="4" customFormat="1" ht="15" customHeight="1" thickBot="1" x14ac:dyDescent="0.25">
      <c r="A30" s="312" t="s">
        <v>39</v>
      </c>
      <c r="B30" s="313"/>
      <c r="C30" s="313"/>
      <c r="D30" s="314"/>
      <c r="E30" s="47" t="s">
        <v>40</v>
      </c>
      <c r="F30" s="9"/>
      <c r="G30" s="5"/>
    </row>
    <row r="31" spans="1:7" s="4" customFormat="1" ht="15" customHeight="1" x14ac:dyDescent="0.2">
      <c r="A31" s="72" t="str">
        <f>+A45</f>
        <v>1.1. Coletor Turno Dia</v>
      </c>
      <c r="B31" s="73"/>
      <c r="C31" s="73"/>
      <c r="D31" s="74"/>
      <c r="E31" s="75">
        <v>2</v>
      </c>
      <c r="F31" s="9"/>
      <c r="G31" s="5"/>
    </row>
    <row r="32" spans="1:7" s="4" customFormat="1" ht="15" customHeight="1" x14ac:dyDescent="0.2">
      <c r="A32" s="66" t="str">
        <f>+A58</f>
        <v>1.2. Coletor Turno Noite</v>
      </c>
      <c r="B32" s="65"/>
      <c r="C32" s="65"/>
      <c r="D32" s="76"/>
      <c r="E32" s="69">
        <f>C74</f>
        <v>0</v>
      </c>
      <c r="F32" s="9"/>
      <c r="G32" s="5"/>
    </row>
    <row r="33" spans="1:7" s="4" customFormat="1" ht="15" customHeight="1" x14ac:dyDescent="0.2">
      <c r="A33" s="66" t="str">
        <f>+A77</f>
        <v>1.3. Motorista Turno do Dia</v>
      </c>
      <c r="B33" s="65"/>
      <c r="C33" s="65"/>
      <c r="D33" s="76"/>
      <c r="E33" s="69">
        <v>1</v>
      </c>
      <c r="F33" s="9"/>
      <c r="G33" s="5"/>
    </row>
    <row r="34" spans="1:7" s="4" customFormat="1" ht="15" customHeight="1" x14ac:dyDescent="0.2">
      <c r="A34" s="66" t="str">
        <f>+A92</f>
        <v>1.4. Motorista Turno Noite</v>
      </c>
      <c r="B34" s="65"/>
      <c r="C34" s="65"/>
      <c r="D34" s="76"/>
      <c r="E34" s="69">
        <f>C110</f>
        <v>0</v>
      </c>
      <c r="F34" s="9"/>
      <c r="G34" s="5"/>
    </row>
    <row r="35" spans="1:7" s="4" customFormat="1" ht="15" customHeight="1" thickBot="1" x14ac:dyDescent="0.25">
      <c r="A35" s="70" t="s">
        <v>59</v>
      </c>
      <c r="B35" s="71"/>
      <c r="C35" s="71"/>
      <c r="D35" s="77"/>
      <c r="E35" s="78">
        <f>SUM(E31:E34)</f>
        <v>3</v>
      </c>
      <c r="F35" s="9"/>
      <c r="G35" s="5"/>
    </row>
    <row r="36" spans="1:7" s="4" customFormat="1" ht="15" customHeight="1" thickBot="1" x14ac:dyDescent="0.25">
      <c r="A36" s="128"/>
      <c r="B36" s="129"/>
      <c r="C36" s="58"/>
      <c r="D36" s="58"/>
      <c r="E36" s="130"/>
      <c r="F36" s="9"/>
      <c r="G36" s="5"/>
    </row>
    <row r="37" spans="1:7" s="4" customFormat="1" ht="15" customHeight="1" x14ac:dyDescent="0.2">
      <c r="A37" s="302" t="s">
        <v>56</v>
      </c>
      <c r="B37" s="303"/>
      <c r="C37" s="303"/>
      <c r="D37" s="303"/>
      <c r="E37" s="47" t="s">
        <v>40</v>
      </c>
      <c r="F37" s="8"/>
      <c r="G37" s="5"/>
    </row>
    <row r="38" spans="1:7" s="4" customFormat="1" ht="15" customHeight="1" thickBot="1" x14ac:dyDescent="0.25">
      <c r="A38" s="131" t="str">
        <f>+A171</f>
        <v xml:space="preserve">3.1. Veículo Coletor Compactador </v>
      </c>
      <c r="B38" s="132"/>
      <c r="C38" s="132"/>
      <c r="D38" s="133"/>
      <c r="E38" s="134">
        <v>1</v>
      </c>
      <c r="F38" s="8"/>
      <c r="G38" s="5"/>
    </row>
    <row r="39" spans="1:7" s="4" customFormat="1" ht="15" customHeight="1" x14ac:dyDescent="0.2">
      <c r="A39" s="58"/>
      <c r="B39" s="58"/>
      <c r="C39" s="58"/>
      <c r="D39" s="53"/>
      <c r="E39" s="251"/>
      <c r="F39" s="8"/>
      <c r="G39" s="5"/>
    </row>
    <row r="40" spans="1:7" s="4" customFormat="1" ht="13.5" thickBot="1" x14ac:dyDescent="0.25">
      <c r="A40" s="58"/>
      <c r="B40" s="58"/>
      <c r="C40" s="58"/>
      <c r="D40" s="53"/>
      <c r="E40" s="67"/>
      <c r="F40" s="8"/>
      <c r="G40" s="5"/>
    </row>
    <row r="41" spans="1:7" s="10" customFormat="1" ht="15.75" customHeight="1" thickBot="1" x14ac:dyDescent="0.25">
      <c r="A41" s="256" t="s">
        <v>208</v>
      </c>
      <c r="B41" s="257">
        <v>1</v>
      </c>
      <c r="C41" s="34"/>
      <c r="D41" s="33"/>
      <c r="E41" s="153"/>
      <c r="G41" s="43"/>
    </row>
    <row r="42" spans="1:7" s="4" customFormat="1" ht="15.75" customHeight="1" x14ac:dyDescent="0.2">
      <c r="A42" s="58"/>
      <c r="B42" s="58"/>
      <c r="C42" s="58"/>
      <c r="D42" s="53"/>
      <c r="E42" s="67"/>
      <c r="F42" s="8"/>
      <c r="G42" s="5"/>
    </row>
    <row r="43" spans="1:7" ht="13.15" customHeight="1" x14ac:dyDescent="0.2">
      <c r="A43" s="10" t="s">
        <v>47</v>
      </c>
    </row>
    <row r="44" spans="1:7" ht="11.25" customHeight="1" x14ac:dyDescent="0.2"/>
    <row r="45" spans="1:7" ht="13.9" customHeight="1" thickBot="1" x14ac:dyDescent="0.25">
      <c r="A45" s="8" t="s">
        <v>103</v>
      </c>
    </row>
    <row r="46" spans="1:7" ht="13.9" customHeight="1" thickBot="1" x14ac:dyDescent="0.25">
      <c r="A46" s="59" t="s">
        <v>64</v>
      </c>
      <c r="B46" s="60" t="s">
        <v>65</v>
      </c>
      <c r="C46" s="60" t="s">
        <v>40</v>
      </c>
      <c r="D46" s="61" t="s">
        <v>254</v>
      </c>
      <c r="E46" s="61" t="s">
        <v>66</v>
      </c>
      <c r="F46" s="62" t="s">
        <v>67</v>
      </c>
    </row>
    <row r="47" spans="1:7" ht="13.15" customHeight="1" x14ac:dyDescent="0.2">
      <c r="A47" s="12" t="s">
        <v>229</v>
      </c>
      <c r="B47" s="13" t="s">
        <v>8</v>
      </c>
      <c r="C47" s="13">
        <v>1</v>
      </c>
      <c r="D47" s="86">
        <v>1356.29</v>
      </c>
      <c r="E47" s="14">
        <f>C47*D47</f>
        <v>1356.29</v>
      </c>
    </row>
    <row r="48" spans="1:7" x14ac:dyDescent="0.2">
      <c r="A48" s="15" t="s">
        <v>34</v>
      </c>
      <c r="B48" s="16" t="s">
        <v>0</v>
      </c>
      <c r="C48" s="87">
        <v>0</v>
      </c>
      <c r="D48" s="17">
        <f>D47/220*2</f>
        <v>12.329909090909091</v>
      </c>
      <c r="E48" s="17">
        <f>C48*D48</f>
        <v>0</v>
      </c>
      <c r="G48" s="9" t="s">
        <v>270</v>
      </c>
    </row>
    <row r="49" spans="1:7" ht="13.15" customHeight="1" x14ac:dyDescent="0.2">
      <c r="A49" s="15" t="s">
        <v>35</v>
      </c>
      <c r="B49" s="16" t="s">
        <v>0</v>
      </c>
      <c r="C49" s="87">
        <v>0</v>
      </c>
      <c r="D49" s="17">
        <f>D47/220*1.5</f>
        <v>9.247431818181818</v>
      </c>
      <c r="E49" s="17">
        <f>C49*D49</f>
        <v>0</v>
      </c>
      <c r="G49" s="9" t="s">
        <v>272</v>
      </c>
    </row>
    <row r="50" spans="1:7" ht="13.15" customHeight="1" x14ac:dyDescent="0.2">
      <c r="A50" s="15" t="s">
        <v>236</v>
      </c>
      <c r="B50" s="16" t="s">
        <v>33</v>
      </c>
      <c r="D50" s="17">
        <f>63/302*(SUM(E48:E49))</f>
        <v>0</v>
      </c>
      <c r="E50" s="17">
        <f>D50</f>
        <v>0</v>
      </c>
      <c r="G50" s="9" t="s">
        <v>235</v>
      </c>
    </row>
    <row r="51" spans="1:7" x14ac:dyDescent="0.2">
      <c r="A51" s="15" t="s">
        <v>1</v>
      </c>
      <c r="B51" s="16" t="s">
        <v>2</v>
      </c>
      <c r="C51" s="16">
        <v>40</v>
      </c>
      <c r="D51" s="82">
        <f>SUM(E47:E50)</f>
        <v>1356.29</v>
      </c>
      <c r="E51" s="17">
        <f>C51*D51/100</f>
        <v>542.51599999999996</v>
      </c>
    </row>
    <row r="52" spans="1:7" x14ac:dyDescent="0.2">
      <c r="A52" s="115" t="s">
        <v>3</v>
      </c>
      <c r="B52" s="116"/>
      <c r="C52" s="116"/>
      <c r="D52" s="117"/>
      <c r="E52" s="118">
        <f>SUM(E47:E51)</f>
        <v>1898.806</v>
      </c>
    </row>
    <row r="53" spans="1:7" x14ac:dyDescent="0.2">
      <c r="A53" s="15" t="s">
        <v>4</v>
      </c>
      <c r="B53" s="16" t="s">
        <v>2</v>
      </c>
      <c r="C53" s="138">
        <f>'2.Encargos Sociais'!$C$34*100</f>
        <v>74.95</v>
      </c>
      <c r="D53" s="17">
        <f>E52</f>
        <v>1898.806</v>
      </c>
      <c r="E53" s="17">
        <f>D53*C53/100</f>
        <v>1423.1550969999998</v>
      </c>
    </row>
    <row r="54" spans="1:7" x14ac:dyDescent="0.2">
      <c r="A54" s="115" t="s">
        <v>73</v>
      </c>
      <c r="B54" s="116"/>
      <c r="C54" s="116"/>
      <c r="D54" s="117"/>
      <c r="E54" s="118">
        <f>E52+E53</f>
        <v>3321.9610969999999</v>
      </c>
    </row>
    <row r="55" spans="1:7" ht="13.5" thickBot="1" x14ac:dyDescent="0.25">
      <c r="A55" s="15" t="s">
        <v>5</v>
      </c>
      <c r="B55" s="16" t="s">
        <v>6</v>
      </c>
      <c r="C55" s="85">
        <v>2</v>
      </c>
      <c r="D55" s="17">
        <f>E54</f>
        <v>3321.9610969999999</v>
      </c>
      <c r="E55" s="17">
        <f>C55*D55</f>
        <v>6643.9221939999998</v>
      </c>
      <c r="G55" s="5"/>
    </row>
    <row r="56" spans="1:7" ht="13.9" customHeight="1" thickBot="1" x14ac:dyDescent="0.25">
      <c r="D56" s="122" t="s">
        <v>207</v>
      </c>
      <c r="E56" s="49">
        <f>$B$41</f>
        <v>1</v>
      </c>
      <c r="F56" s="123">
        <f>E55*E56</f>
        <v>6643.9221939999998</v>
      </c>
      <c r="G56" s="5"/>
    </row>
    <row r="57" spans="1:7" ht="11.25" customHeight="1" x14ac:dyDescent="0.2"/>
    <row r="58" spans="1:7" ht="13.5" thickBot="1" x14ac:dyDescent="0.25">
      <c r="A58" s="8" t="s">
        <v>92</v>
      </c>
    </row>
    <row r="59" spans="1:7" ht="13.5" thickBot="1" x14ac:dyDescent="0.25">
      <c r="A59" s="59" t="s">
        <v>64</v>
      </c>
      <c r="B59" s="60" t="s">
        <v>65</v>
      </c>
      <c r="C59" s="60" t="s">
        <v>40</v>
      </c>
      <c r="D59" s="61" t="s">
        <v>254</v>
      </c>
      <c r="E59" s="61" t="s">
        <v>66</v>
      </c>
      <c r="F59" s="62" t="s">
        <v>67</v>
      </c>
    </row>
    <row r="60" spans="1:7" x14ac:dyDescent="0.2">
      <c r="A60" s="12" t="s">
        <v>229</v>
      </c>
      <c r="B60" s="13" t="s">
        <v>8</v>
      </c>
      <c r="C60" s="13">
        <v>1</v>
      </c>
      <c r="D60" s="14">
        <f>D47</f>
        <v>1356.29</v>
      </c>
      <c r="E60" s="14">
        <f>C60*D60</f>
        <v>1356.29</v>
      </c>
    </row>
    <row r="61" spans="1:7" x14ac:dyDescent="0.2">
      <c r="A61" s="15" t="s">
        <v>7</v>
      </c>
      <c r="B61" s="16" t="s">
        <v>101</v>
      </c>
      <c r="C61" s="87"/>
      <c r="D61" s="17"/>
      <c r="E61" s="17"/>
    </row>
    <row r="62" spans="1:7" x14ac:dyDescent="0.2">
      <c r="A62" s="15"/>
      <c r="B62" s="16" t="s">
        <v>106</v>
      </c>
      <c r="C62" s="119">
        <f>C61*8/7</f>
        <v>0</v>
      </c>
      <c r="D62" s="17">
        <f>D60/220*0.2</f>
        <v>1.2329909090909092</v>
      </c>
      <c r="E62" s="17">
        <f>C61*D62</f>
        <v>0</v>
      </c>
    </row>
    <row r="63" spans="1:7" x14ac:dyDescent="0.2">
      <c r="A63" s="15" t="s">
        <v>34</v>
      </c>
      <c r="B63" s="16" t="s">
        <v>0</v>
      </c>
      <c r="C63" s="87"/>
      <c r="D63" s="17">
        <f>D60/220*2</f>
        <v>12.329909090909091</v>
      </c>
      <c r="E63" s="17">
        <f>C63*D63</f>
        <v>0</v>
      </c>
      <c r="G63" s="9" t="s">
        <v>270</v>
      </c>
    </row>
    <row r="64" spans="1:7" x14ac:dyDescent="0.2">
      <c r="A64" s="15" t="s">
        <v>102</v>
      </c>
      <c r="B64" s="16" t="s">
        <v>101</v>
      </c>
      <c r="C64" s="87"/>
      <c r="D64" s="17"/>
      <c r="E64" s="17"/>
      <c r="G64" s="9" t="s">
        <v>271</v>
      </c>
    </row>
    <row r="65" spans="1:7" x14ac:dyDescent="0.2">
      <c r="A65" s="15"/>
      <c r="B65" s="16" t="s">
        <v>106</v>
      </c>
      <c r="C65" s="119">
        <f>C64*8/7</f>
        <v>0</v>
      </c>
      <c r="D65" s="17">
        <f>D60/220*2*1.2</f>
        <v>14.795890909090907</v>
      </c>
      <c r="E65" s="17">
        <f>C65*D65</f>
        <v>0</v>
      </c>
      <c r="G65" s="9" t="s">
        <v>271</v>
      </c>
    </row>
    <row r="66" spans="1:7" x14ac:dyDescent="0.2">
      <c r="A66" s="15" t="s">
        <v>35</v>
      </c>
      <c r="B66" s="16" t="s">
        <v>0</v>
      </c>
      <c r="C66" s="87"/>
      <c r="D66" s="17">
        <f>D60/220*1.5</f>
        <v>9.247431818181818</v>
      </c>
      <c r="E66" s="17">
        <f>C66*D66</f>
        <v>0</v>
      </c>
      <c r="G66" s="9" t="s">
        <v>272</v>
      </c>
    </row>
    <row r="67" spans="1:7" x14ac:dyDescent="0.2">
      <c r="A67" s="15" t="s">
        <v>234</v>
      </c>
      <c r="B67" s="16" t="s">
        <v>101</v>
      </c>
      <c r="C67" s="87"/>
      <c r="D67" s="17"/>
      <c r="E67" s="17"/>
      <c r="G67" s="9" t="s">
        <v>273</v>
      </c>
    </row>
    <row r="68" spans="1:7" x14ac:dyDescent="0.2">
      <c r="A68" s="15"/>
      <c r="B68" s="16" t="s">
        <v>106</v>
      </c>
      <c r="C68" s="17">
        <f>C67*8/7</f>
        <v>0</v>
      </c>
      <c r="D68" s="17">
        <f>D60/220*1.5*1.2</f>
        <v>11.096918181818181</v>
      </c>
      <c r="E68" s="17">
        <f>C68*D68</f>
        <v>0</v>
      </c>
      <c r="G68" s="9" t="s">
        <v>273</v>
      </c>
    </row>
    <row r="69" spans="1:7" ht="13.15" customHeight="1" x14ac:dyDescent="0.2">
      <c r="A69" s="15" t="s">
        <v>236</v>
      </c>
      <c r="B69" s="16" t="s">
        <v>33</v>
      </c>
      <c r="D69" s="17">
        <f>63/302*(SUM(E63:E68))</f>
        <v>0</v>
      </c>
      <c r="E69" s="17">
        <f>D69</f>
        <v>0</v>
      </c>
      <c r="G69" s="9" t="s">
        <v>235</v>
      </c>
    </row>
    <row r="70" spans="1:7" x14ac:dyDescent="0.2">
      <c r="A70" s="15" t="s">
        <v>1</v>
      </c>
      <c r="B70" s="16" t="s">
        <v>2</v>
      </c>
      <c r="C70" s="16">
        <f>+C51</f>
        <v>40</v>
      </c>
      <c r="D70" s="82">
        <f>SUM(E60:E69)</f>
        <v>1356.29</v>
      </c>
      <c r="E70" s="17">
        <f>C70*D70/100</f>
        <v>542.51599999999996</v>
      </c>
    </row>
    <row r="71" spans="1:7" x14ac:dyDescent="0.2">
      <c r="A71" s="115" t="s">
        <v>3</v>
      </c>
      <c r="B71" s="116"/>
      <c r="C71" s="116"/>
      <c r="D71" s="117"/>
      <c r="E71" s="118">
        <f>SUM(E60:E70)</f>
        <v>1898.806</v>
      </c>
    </row>
    <row r="72" spans="1:7" x14ac:dyDescent="0.2">
      <c r="A72" s="15" t="s">
        <v>4</v>
      </c>
      <c r="B72" s="16" t="s">
        <v>2</v>
      </c>
      <c r="C72" s="138">
        <f>'2.Encargos Sociais'!$C$34*100</f>
        <v>74.95</v>
      </c>
      <c r="D72" s="17">
        <f>E71</f>
        <v>1898.806</v>
      </c>
      <c r="E72" s="17">
        <f>D72*C72/100</f>
        <v>1423.1550969999998</v>
      </c>
    </row>
    <row r="73" spans="1:7" x14ac:dyDescent="0.2">
      <c r="A73" s="115" t="s">
        <v>73</v>
      </c>
      <c r="B73" s="116"/>
      <c r="C73" s="116"/>
      <c r="D73" s="117"/>
      <c r="E73" s="118">
        <f>E71+E72</f>
        <v>3321.9610969999999</v>
      </c>
    </row>
    <row r="74" spans="1:7" ht="13.5" thickBot="1" x14ac:dyDescent="0.25">
      <c r="A74" s="15" t="s">
        <v>5</v>
      </c>
      <c r="B74" s="16" t="s">
        <v>6</v>
      </c>
      <c r="C74" s="85"/>
      <c r="D74" s="17">
        <f>E73</f>
        <v>3321.9610969999999</v>
      </c>
      <c r="E74" s="17">
        <f>C74*D74</f>
        <v>0</v>
      </c>
    </row>
    <row r="75" spans="1:7" ht="13.5" thickBot="1" x14ac:dyDescent="0.25">
      <c r="D75" s="122" t="s">
        <v>207</v>
      </c>
      <c r="E75" s="49">
        <f>$B$41</f>
        <v>1</v>
      </c>
      <c r="F75" s="123">
        <f>E74*E75</f>
        <v>0</v>
      </c>
    </row>
    <row r="76" spans="1:7" ht="11.25" customHeight="1" x14ac:dyDescent="0.2"/>
    <row r="77" spans="1:7" ht="13.5" thickBot="1" x14ac:dyDescent="0.25">
      <c r="A77" s="8" t="s">
        <v>104</v>
      </c>
    </row>
    <row r="78" spans="1:7" s="11" customFormat="1" ht="13.15" customHeight="1" thickBot="1" x14ac:dyDescent="0.25">
      <c r="A78" s="59" t="s">
        <v>64</v>
      </c>
      <c r="B78" s="60" t="s">
        <v>65</v>
      </c>
      <c r="C78" s="60" t="s">
        <v>40</v>
      </c>
      <c r="D78" s="61" t="s">
        <v>254</v>
      </c>
      <c r="E78" s="61" t="s">
        <v>66</v>
      </c>
      <c r="F78" s="62" t="s">
        <v>67</v>
      </c>
      <c r="G78" s="9"/>
    </row>
    <row r="79" spans="1:7" x14ac:dyDescent="0.2">
      <c r="A79" s="12" t="s">
        <v>232</v>
      </c>
      <c r="B79" s="13" t="s">
        <v>8</v>
      </c>
      <c r="C79" s="13">
        <v>1</v>
      </c>
      <c r="D79" s="86">
        <v>1356.29</v>
      </c>
      <c r="E79" s="14">
        <f>C79*D79</f>
        <v>1356.29</v>
      </c>
    </row>
    <row r="80" spans="1:7" x14ac:dyDescent="0.2">
      <c r="A80" s="12" t="s">
        <v>233</v>
      </c>
      <c r="B80" s="13" t="s">
        <v>8</v>
      </c>
      <c r="C80" s="13">
        <v>1</v>
      </c>
      <c r="D80" s="86">
        <v>998</v>
      </c>
      <c r="E80" s="14"/>
    </row>
    <row r="81" spans="1:7" x14ac:dyDescent="0.2">
      <c r="A81" s="15" t="s">
        <v>34</v>
      </c>
      <c r="B81" s="16" t="s">
        <v>0</v>
      </c>
      <c r="C81" s="87">
        <v>0</v>
      </c>
      <c r="D81" s="17">
        <f>D79/220*2</f>
        <v>12.329909090909091</v>
      </c>
      <c r="E81" s="17">
        <f>C81*D81</f>
        <v>0</v>
      </c>
      <c r="G81" s="9" t="s">
        <v>270</v>
      </c>
    </row>
    <row r="82" spans="1:7" x14ac:dyDescent="0.2">
      <c r="A82" s="15" t="s">
        <v>35</v>
      </c>
      <c r="B82" s="16" t="s">
        <v>0</v>
      </c>
      <c r="C82" s="87">
        <v>0</v>
      </c>
      <c r="D82" s="17">
        <f>D79/220*1.5</f>
        <v>9.247431818181818</v>
      </c>
      <c r="E82" s="17">
        <f>C82*D82</f>
        <v>0</v>
      </c>
      <c r="G82" s="9" t="s">
        <v>272</v>
      </c>
    </row>
    <row r="83" spans="1:7" ht="13.15" customHeight="1" x14ac:dyDescent="0.2">
      <c r="A83" s="15" t="s">
        <v>236</v>
      </c>
      <c r="B83" s="16" t="s">
        <v>33</v>
      </c>
      <c r="D83" s="17">
        <f>63/302*(SUM(E81:E82))</f>
        <v>0</v>
      </c>
      <c r="E83" s="17">
        <f>D83</f>
        <v>0</v>
      </c>
      <c r="G83" s="9" t="s">
        <v>235</v>
      </c>
    </row>
    <row r="84" spans="1:7" x14ac:dyDescent="0.2">
      <c r="A84" s="15" t="s">
        <v>231</v>
      </c>
      <c r="B84" s="16"/>
      <c r="C84" s="89">
        <v>2</v>
      </c>
      <c r="D84" s="17"/>
      <c r="E84" s="17"/>
    </row>
    <row r="85" spans="1:7" x14ac:dyDescent="0.2">
      <c r="A85" s="15" t="s">
        <v>1</v>
      </c>
      <c r="B85" s="16" t="s">
        <v>2</v>
      </c>
      <c r="C85" s="85">
        <v>40</v>
      </c>
      <c r="D85" s="82">
        <f>IF(C84=2,SUM(E79:E83),IF(C84=1,(SUM(E79:E83))*D80/D79,0))</f>
        <v>1356.29</v>
      </c>
      <c r="E85" s="17">
        <f>C85*D85/100</f>
        <v>542.51599999999996</v>
      </c>
    </row>
    <row r="86" spans="1:7" s="10" customFormat="1" x14ac:dyDescent="0.2">
      <c r="A86" s="102" t="s">
        <v>3</v>
      </c>
      <c r="B86" s="116"/>
      <c r="C86" s="116"/>
      <c r="D86" s="117"/>
      <c r="E86" s="104">
        <f>SUM(E79:E85)</f>
        <v>1898.806</v>
      </c>
      <c r="F86" s="43"/>
      <c r="G86" s="43"/>
    </row>
    <row r="87" spans="1:7" x14ac:dyDescent="0.2">
      <c r="A87" s="15" t="s">
        <v>4</v>
      </c>
      <c r="B87" s="16" t="s">
        <v>2</v>
      </c>
      <c r="C87" s="138">
        <f>'2.Encargos Sociais'!$C$34*100</f>
        <v>74.95</v>
      </c>
      <c r="D87" s="17">
        <f>E86</f>
        <v>1898.806</v>
      </c>
      <c r="E87" s="17">
        <f>D87*C87/100</f>
        <v>1423.1550969999998</v>
      </c>
    </row>
    <row r="88" spans="1:7" s="10" customFormat="1" x14ac:dyDescent="0.2">
      <c r="A88" s="102" t="s">
        <v>274</v>
      </c>
      <c r="B88" s="263"/>
      <c r="C88" s="263"/>
      <c r="D88" s="264"/>
      <c r="E88" s="104">
        <f>E86+E87</f>
        <v>3321.9610969999999</v>
      </c>
      <c r="F88" s="43"/>
      <c r="G88" s="43"/>
    </row>
    <row r="89" spans="1:7" ht="13.5" thickBot="1" x14ac:dyDescent="0.25">
      <c r="A89" s="15" t="s">
        <v>5</v>
      </c>
      <c r="B89" s="16" t="s">
        <v>6</v>
      </c>
      <c r="C89" s="85">
        <v>1</v>
      </c>
      <c r="D89" s="17">
        <f>E88</f>
        <v>3321.9610969999999</v>
      </c>
      <c r="E89" s="17">
        <f>C89*D89</f>
        <v>3321.9610969999999</v>
      </c>
    </row>
    <row r="90" spans="1:7" ht="13.5" thickBot="1" x14ac:dyDescent="0.25">
      <c r="D90" s="122" t="s">
        <v>207</v>
      </c>
      <c r="E90" s="49">
        <f>$B$41</f>
        <v>1</v>
      </c>
      <c r="F90" s="123">
        <f>E89*E90</f>
        <v>3321.9610969999999</v>
      </c>
    </row>
    <row r="91" spans="1:7" ht="11.25" customHeight="1" x14ac:dyDescent="0.2"/>
    <row r="92" spans="1:7" ht="13.5" thickBot="1" x14ac:dyDescent="0.25">
      <c r="A92" s="8" t="s">
        <v>105</v>
      </c>
    </row>
    <row r="93" spans="1:7" ht="13.5" thickBot="1" x14ac:dyDescent="0.25">
      <c r="A93" s="59" t="s">
        <v>64</v>
      </c>
      <c r="B93" s="60" t="s">
        <v>65</v>
      </c>
      <c r="C93" s="60" t="s">
        <v>40</v>
      </c>
      <c r="D93" s="61" t="s">
        <v>254</v>
      </c>
      <c r="E93" s="61" t="s">
        <v>66</v>
      </c>
      <c r="F93" s="62" t="s">
        <v>67</v>
      </c>
    </row>
    <row r="94" spans="1:7" x14ac:dyDescent="0.2">
      <c r="A94" s="12" t="s">
        <v>229</v>
      </c>
      <c r="B94" s="13" t="s">
        <v>8</v>
      </c>
      <c r="C94" s="13">
        <v>1</v>
      </c>
      <c r="D94" s="14">
        <f>D79</f>
        <v>1356.29</v>
      </c>
      <c r="E94" s="14">
        <f>C94*D94</f>
        <v>1356.29</v>
      </c>
    </row>
    <row r="95" spans="1:7" x14ac:dyDescent="0.2">
      <c r="A95" s="12" t="s">
        <v>230</v>
      </c>
      <c r="B95" s="13" t="s">
        <v>8</v>
      </c>
      <c r="C95" s="13">
        <v>1</v>
      </c>
      <c r="D95" s="17">
        <f>D80</f>
        <v>998</v>
      </c>
      <c r="E95" s="17"/>
    </row>
    <row r="96" spans="1:7" x14ac:dyDescent="0.2">
      <c r="A96" s="15" t="s">
        <v>7</v>
      </c>
      <c r="B96" s="16" t="s">
        <v>101</v>
      </c>
      <c r="C96" s="87">
        <v>0</v>
      </c>
      <c r="D96" s="15"/>
      <c r="E96" s="15"/>
    </row>
    <row r="97" spans="1:7" x14ac:dyDescent="0.2">
      <c r="A97" s="15"/>
      <c r="B97" s="16" t="s">
        <v>106</v>
      </c>
      <c r="C97" s="17">
        <f>C96*8/7</f>
        <v>0</v>
      </c>
      <c r="D97" s="17">
        <f>D94/220*0.2</f>
        <v>1.2329909090909092</v>
      </c>
      <c r="E97" s="17">
        <f>C96*D97</f>
        <v>0</v>
      </c>
    </row>
    <row r="98" spans="1:7" x14ac:dyDescent="0.2">
      <c r="A98" s="15" t="s">
        <v>34</v>
      </c>
      <c r="B98" s="16" t="s">
        <v>0</v>
      </c>
      <c r="C98" s="87">
        <v>0</v>
      </c>
      <c r="D98" s="17">
        <f>D94/220*2</f>
        <v>12.329909090909091</v>
      </c>
      <c r="E98" s="17">
        <f>C98*D98</f>
        <v>0</v>
      </c>
      <c r="G98" s="9" t="s">
        <v>270</v>
      </c>
    </row>
    <row r="99" spans="1:7" x14ac:dyDescent="0.2">
      <c r="A99" s="15" t="s">
        <v>102</v>
      </c>
      <c r="B99" s="16" t="s">
        <v>101</v>
      </c>
      <c r="C99" s="87"/>
      <c r="D99" s="17"/>
      <c r="E99" s="17"/>
      <c r="G99" s="9" t="s">
        <v>271</v>
      </c>
    </row>
    <row r="100" spans="1:7" x14ac:dyDescent="0.2">
      <c r="A100" s="15"/>
      <c r="B100" s="16" t="s">
        <v>106</v>
      </c>
      <c r="C100" s="17">
        <f>C99*8/7</f>
        <v>0</v>
      </c>
      <c r="D100" s="17">
        <f>D94/220*2*1.2</f>
        <v>14.795890909090907</v>
      </c>
      <c r="E100" s="17">
        <f>C100*D100</f>
        <v>0</v>
      </c>
      <c r="G100" s="9" t="s">
        <v>271</v>
      </c>
    </row>
    <row r="101" spans="1:7" x14ac:dyDescent="0.2">
      <c r="A101" s="15" t="s">
        <v>35</v>
      </c>
      <c r="B101" s="16" t="s">
        <v>0</v>
      </c>
      <c r="C101" s="87"/>
      <c r="D101" s="17">
        <f>D94/220*1.5</f>
        <v>9.247431818181818</v>
      </c>
      <c r="E101" s="17">
        <f>C101*D101</f>
        <v>0</v>
      </c>
      <c r="G101" s="9" t="s">
        <v>272</v>
      </c>
    </row>
    <row r="102" spans="1:7" x14ac:dyDescent="0.2">
      <c r="A102" s="15" t="s">
        <v>234</v>
      </c>
      <c r="B102" s="16" t="s">
        <v>101</v>
      </c>
      <c r="C102" s="87"/>
      <c r="D102" s="17"/>
      <c r="E102" s="17"/>
      <c r="G102" s="9" t="s">
        <v>273</v>
      </c>
    </row>
    <row r="103" spans="1:7" x14ac:dyDescent="0.2">
      <c r="A103" s="15"/>
      <c r="B103" s="16" t="s">
        <v>106</v>
      </c>
      <c r="C103" s="17">
        <f>C102*8/7</f>
        <v>0</v>
      </c>
      <c r="D103" s="17">
        <f>D94/220*1.5*1.2</f>
        <v>11.096918181818181</v>
      </c>
      <c r="E103" s="17">
        <f>C103*D103</f>
        <v>0</v>
      </c>
      <c r="G103" s="9" t="s">
        <v>273</v>
      </c>
    </row>
    <row r="104" spans="1:7" ht="13.15" customHeight="1" x14ac:dyDescent="0.2">
      <c r="A104" s="15" t="s">
        <v>236</v>
      </c>
      <c r="B104" s="16" t="s">
        <v>33</v>
      </c>
      <c r="D104" s="17">
        <f>63/302*(SUM(E98:E103))</f>
        <v>0</v>
      </c>
      <c r="E104" s="17">
        <f>D104</f>
        <v>0</v>
      </c>
      <c r="G104" s="9" t="s">
        <v>235</v>
      </c>
    </row>
    <row r="105" spans="1:7" x14ac:dyDescent="0.2">
      <c r="A105" s="15" t="s">
        <v>231</v>
      </c>
      <c r="B105" s="16"/>
      <c r="C105" s="89"/>
      <c r="D105" s="17"/>
      <c r="E105" s="17"/>
    </row>
    <row r="106" spans="1:7" x14ac:dyDescent="0.2">
      <c r="A106" s="15" t="s">
        <v>1</v>
      </c>
      <c r="B106" s="16" t="s">
        <v>2</v>
      </c>
      <c r="C106" s="82">
        <f>+C85</f>
        <v>40</v>
      </c>
      <c r="D106" s="82">
        <f>IF(C105=2,SUM(E94:E104),IF(C105=1,SUM(E94:E104)*D95/D94,0))</f>
        <v>0</v>
      </c>
      <c r="E106" s="17">
        <f>C106*D106/100</f>
        <v>0</v>
      </c>
    </row>
    <row r="107" spans="1:7" s="10" customFormat="1" x14ac:dyDescent="0.2">
      <c r="A107" s="115" t="s">
        <v>3</v>
      </c>
      <c r="B107" s="116"/>
      <c r="C107" s="116"/>
      <c r="D107" s="117"/>
      <c r="E107" s="118">
        <f>SUM(E94:E106)</f>
        <v>1356.29</v>
      </c>
      <c r="F107" s="43"/>
      <c r="G107" s="43"/>
    </row>
    <row r="108" spans="1:7" x14ac:dyDescent="0.2">
      <c r="A108" s="15" t="s">
        <v>4</v>
      </c>
      <c r="B108" s="16" t="s">
        <v>2</v>
      </c>
      <c r="C108" s="138">
        <f>'2.Encargos Sociais'!$C$34*100</f>
        <v>74.95</v>
      </c>
      <c r="D108" s="17">
        <f>E107</f>
        <v>1356.29</v>
      </c>
      <c r="E108" s="17">
        <f>D108*C108/100</f>
        <v>1016.5393550000001</v>
      </c>
    </row>
    <row r="109" spans="1:7" s="10" customFormat="1" x14ac:dyDescent="0.2">
      <c r="A109" s="115" t="s">
        <v>274</v>
      </c>
      <c r="B109" s="116"/>
      <c r="C109" s="116"/>
      <c r="D109" s="117"/>
      <c r="E109" s="118">
        <f>E107+E108</f>
        <v>2372.8293549999999</v>
      </c>
      <c r="F109" s="43"/>
      <c r="G109" s="43"/>
    </row>
    <row r="110" spans="1:7" ht="13.5" thickBot="1" x14ac:dyDescent="0.25">
      <c r="A110" s="15" t="s">
        <v>5</v>
      </c>
      <c r="B110" s="16" t="s">
        <v>6</v>
      </c>
      <c r="C110" s="85"/>
      <c r="D110" s="17">
        <f>E109</f>
        <v>2372.8293549999999</v>
      </c>
      <c r="E110" s="17">
        <f>C110*D110</f>
        <v>0</v>
      </c>
    </row>
    <row r="111" spans="1:7" ht="13.5" thickBot="1" x14ac:dyDescent="0.25">
      <c r="D111" s="122" t="s">
        <v>207</v>
      </c>
      <c r="E111" s="49">
        <f>$B$41</f>
        <v>1</v>
      </c>
      <c r="F111" s="123">
        <f>E110*E111</f>
        <v>0</v>
      </c>
    </row>
    <row r="112" spans="1:7" ht="11.25" customHeight="1" x14ac:dyDescent="0.2">
      <c r="G112" s="8"/>
    </row>
    <row r="113" spans="1:7" ht="13.5" thickBot="1" x14ac:dyDescent="0.25">
      <c r="A113" s="8" t="s">
        <v>107</v>
      </c>
      <c r="B113" s="92"/>
      <c r="D113" s="8"/>
      <c r="E113" s="8"/>
      <c r="G113" s="8"/>
    </row>
    <row r="114" spans="1:7" ht="13.5" thickBot="1" x14ac:dyDescent="0.25">
      <c r="A114" s="59" t="s">
        <v>64</v>
      </c>
      <c r="B114" s="60" t="s">
        <v>65</v>
      </c>
      <c r="C114" s="60" t="s">
        <v>40</v>
      </c>
      <c r="D114" s="61" t="s">
        <v>254</v>
      </c>
      <c r="E114" s="61" t="s">
        <v>66</v>
      </c>
      <c r="F114" s="62" t="s">
        <v>67</v>
      </c>
      <c r="G114" s="8"/>
    </row>
    <row r="115" spans="1:7" x14ac:dyDescent="0.2">
      <c r="A115" s="15" t="s">
        <v>93</v>
      </c>
      <c r="B115" s="16" t="s">
        <v>33</v>
      </c>
      <c r="C115" s="93">
        <v>1</v>
      </c>
      <c r="D115" s="91"/>
      <c r="E115" s="17"/>
      <c r="G115" s="8"/>
    </row>
    <row r="116" spans="1:7" x14ac:dyDescent="0.2">
      <c r="A116" s="15" t="s">
        <v>94</v>
      </c>
      <c r="B116" s="16" t="s">
        <v>95</v>
      </c>
      <c r="C116" s="90"/>
      <c r="D116" s="17"/>
      <c r="E116" s="17"/>
      <c r="G116" s="8"/>
    </row>
    <row r="117" spans="1:7" x14ac:dyDescent="0.2">
      <c r="A117" s="15" t="s">
        <v>74</v>
      </c>
      <c r="B117" s="16" t="s">
        <v>9</v>
      </c>
      <c r="C117" s="36">
        <f>$C$116*2*(C55+C74)</f>
        <v>0</v>
      </c>
      <c r="D117" s="14" t="str">
        <f>IFERROR((($C$116*2*$D$115)-(E47*0.06))/($C$116*2),"-")</f>
        <v>-</v>
      </c>
      <c r="E117" s="17" t="str">
        <f>IFERROR(C117*D117,"-")</f>
        <v>-</v>
      </c>
      <c r="G117" s="8"/>
    </row>
    <row r="118" spans="1:7" ht="13.5" thickBot="1" x14ac:dyDescent="0.25">
      <c r="A118" s="12" t="s">
        <v>44</v>
      </c>
      <c r="B118" s="13" t="s">
        <v>9</v>
      </c>
      <c r="C118" s="36">
        <f>$C$116*2*(C89+C110)</f>
        <v>0</v>
      </c>
      <c r="D118" s="14" t="str">
        <f>IFERROR((($C$116*2*$D$115)-(E79*0.06))/($C$116*2),"-")</f>
        <v>-</v>
      </c>
      <c r="E118" s="14" t="str">
        <f>IFERROR(C118*D118,"-")</f>
        <v>-</v>
      </c>
      <c r="G118" s="8"/>
    </row>
    <row r="119" spans="1:7" ht="13.5" thickBot="1" x14ac:dyDescent="0.25">
      <c r="F119" s="21">
        <f>SUM(E117:E118)</f>
        <v>0</v>
      </c>
      <c r="G119" s="8"/>
    </row>
    <row r="120" spans="1:7" ht="11.25" customHeight="1" x14ac:dyDescent="0.2">
      <c r="G120" s="8"/>
    </row>
    <row r="121" spans="1:7" ht="13.5" thickBot="1" x14ac:dyDescent="0.25">
      <c r="A121" s="8" t="s">
        <v>130</v>
      </c>
      <c r="F121" s="22"/>
      <c r="G121" s="8"/>
    </row>
    <row r="122" spans="1:7" ht="13.5" thickBot="1" x14ac:dyDescent="0.25">
      <c r="A122" s="59" t="s">
        <v>64</v>
      </c>
      <c r="B122" s="60" t="s">
        <v>65</v>
      </c>
      <c r="C122" s="60" t="s">
        <v>40</v>
      </c>
      <c r="D122" s="61" t="s">
        <v>254</v>
      </c>
      <c r="E122" s="61" t="s">
        <v>66</v>
      </c>
      <c r="F122" s="62" t="s">
        <v>67</v>
      </c>
      <c r="G122" s="8"/>
    </row>
    <row r="123" spans="1:7" x14ac:dyDescent="0.2">
      <c r="A123" s="15" t="str">
        <f>+A117</f>
        <v>Coletor</v>
      </c>
      <c r="B123" s="16" t="s">
        <v>10</v>
      </c>
      <c r="C123" s="101">
        <v>10</v>
      </c>
      <c r="D123" s="94">
        <v>16</v>
      </c>
      <c r="E123" s="49">
        <f>C123*D123</f>
        <v>160</v>
      </c>
      <c r="F123" s="22"/>
      <c r="G123" s="8"/>
    </row>
    <row r="124" spans="1:7" ht="13.5" thickBot="1" x14ac:dyDescent="0.25">
      <c r="A124" s="15" t="str">
        <f>+A118</f>
        <v>Motorista</v>
      </c>
      <c r="B124" s="16" t="s">
        <v>10</v>
      </c>
      <c r="C124" s="101">
        <v>10</v>
      </c>
      <c r="D124" s="94">
        <v>16</v>
      </c>
      <c r="E124" s="49">
        <f>C124*D124</f>
        <v>160</v>
      </c>
      <c r="F124" s="22"/>
      <c r="G124" s="8"/>
    </row>
    <row r="125" spans="1:7" ht="13.5" thickBot="1" x14ac:dyDescent="0.25">
      <c r="F125" s="21">
        <f>SUM(E123:E124)</f>
        <v>320</v>
      </c>
      <c r="G125" s="8"/>
    </row>
    <row r="126" spans="1:7" x14ac:dyDescent="0.2">
      <c r="G126" s="8"/>
    </row>
    <row r="127" spans="1:7" ht="13.5" thickBot="1" x14ac:dyDescent="0.25">
      <c r="A127" s="8" t="s">
        <v>131</v>
      </c>
      <c r="F127" s="22"/>
      <c r="G127" s="8"/>
    </row>
    <row r="128" spans="1:7" ht="13.5" thickBot="1" x14ac:dyDescent="0.25">
      <c r="A128" s="59" t="s">
        <v>64</v>
      </c>
      <c r="B128" s="60" t="s">
        <v>65</v>
      </c>
      <c r="C128" s="60" t="s">
        <v>40</v>
      </c>
      <c r="D128" s="61" t="s">
        <v>254</v>
      </c>
      <c r="E128" s="61" t="s">
        <v>66</v>
      </c>
      <c r="F128" s="62" t="s">
        <v>67</v>
      </c>
      <c r="G128" s="8"/>
    </row>
    <row r="129" spans="1:7" x14ac:dyDescent="0.2">
      <c r="A129" s="15" t="str">
        <f>+A123</f>
        <v>Coletor</v>
      </c>
      <c r="B129" s="16" t="s">
        <v>10</v>
      </c>
      <c r="C129" s="101">
        <f>E31+E32</f>
        <v>2</v>
      </c>
      <c r="D129" s="94">
        <v>200</v>
      </c>
      <c r="E129" s="49">
        <f>C129*D129</f>
        <v>400</v>
      </c>
      <c r="F129" s="22"/>
      <c r="G129" s="8"/>
    </row>
    <row r="130" spans="1:7" ht="13.5" thickBot="1" x14ac:dyDescent="0.25">
      <c r="A130" s="15" t="str">
        <f>+A124</f>
        <v>Motorista</v>
      </c>
      <c r="B130" s="16" t="s">
        <v>10</v>
      </c>
      <c r="C130" s="101">
        <f>E33+E34</f>
        <v>1</v>
      </c>
      <c r="D130" s="94">
        <v>100</v>
      </c>
      <c r="E130" s="49">
        <f>C130*D130</f>
        <v>100</v>
      </c>
      <c r="F130" s="22"/>
      <c r="G130" s="8"/>
    </row>
    <row r="131" spans="1:7" ht="13.5" thickBot="1" x14ac:dyDescent="0.25">
      <c r="D131" s="122" t="s">
        <v>207</v>
      </c>
      <c r="E131" s="49">
        <f>$B$41</f>
        <v>1</v>
      </c>
      <c r="F131" s="21">
        <f>SUM(E129:E130)*E131</f>
        <v>500</v>
      </c>
      <c r="G131" s="8"/>
    </row>
    <row r="132" spans="1:7" ht="13.5" thickBot="1" x14ac:dyDescent="0.25">
      <c r="G132" s="8"/>
    </row>
    <row r="133" spans="1:7" ht="13.5" thickBot="1" x14ac:dyDescent="0.25">
      <c r="A133" s="23" t="s">
        <v>96</v>
      </c>
      <c r="B133" s="24"/>
      <c r="C133" s="24"/>
      <c r="D133" s="25"/>
      <c r="E133" s="26"/>
      <c r="F133" s="21">
        <f>F131+F125+F119+F111+F90+F75+F56</f>
        <v>10785.883290999998</v>
      </c>
      <c r="G133" s="8"/>
    </row>
    <row r="135" spans="1:7" x14ac:dyDescent="0.2">
      <c r="A135" s="10" t="s">
        <v>45</v>
      </c>
      <c r="G135" s="8"/>
    </row>
    <row r="136" spans="1:7" ht="11.25" customHeight="1" x14ac:dyDescent="0.2">
      <c r="G136" s="8"/>
    </row>
    <row r="137" spans="1:7" ht="13.9" customHeight="1" x14ac:dyDescent="0.2">
      <c r="A137" s="8" t="s">
        <v>209</v>
      </c>
      <c r="G137" s="8"/>
    </row>
    <row r="138" spans="1:7" ht="11.25" customHeight="1" thickBot="1" x14ac:dyDescent="0.25">
      <c r="G138" s="8"/>
    </row>
    <row r="139" spans="1:7" ht="27.75" customHeight="1" thickBot="1" x14ac:dyDescent="0.25">
      <c r="A139" s="59" t="s">
        <v>64</v>
      </c>
      <c r="B139" s="60" t="s">
        <v>65</v>
      </c>
      <c r="C139" s="265" t="s">
        <v>276</v>
      </c>
      <c r="D139" s="61" t="s">
        <v>254</v>
      </c>
      <c r="E139" s="61" t="s">
        <v>66</v>
      </c>
      <c r="F139" s="62" t="s">
        <v>67</v>
      </c>
      <c r="G139" s="8"/>
    </row>
    <row r="140" spans="1:7" x14ac:dyDescent="0.2">
      <c r="A140" s="12" t="s">
        <v>68</v>
      </c>
      <c r="B140" s="13" t="s">
        <v>10</v>
      </c>
      <c r="C140" s="100">
        <v>3</v>
      </c>
      <c r="D140" s="86">
        <v>150</v>
      </c>
      <c r="E140" s="14">
        <f>IFERROR(D140/C140,0)</f>
        <v>50</v>
      </c>
      <c r="G140" s="8"/>
    </row>
    <row r="141" spans="1:7" ht="13.15" customHeight="1" x14ac:dyDescent="0.2">
      <c r="A141" s="15" t="s">
        <v>29</v>
      </c>
      <c r="B141" s="16" t="s">
        <v>10</v>
      </c>
      <c r="C141" s="100">
        <v>3</v>
      </c>
      <c r="D141" s="86">
        <v>95</v>
      </c>
      <c r="E141" s="14">
        <f t="shared" ref="E141:E149" si="1">IFERROR(D141/C141,0)</f>
        <v>31.666666666666668</v>
      </c>
      <c r="G141" s="8"/>
    </row>
    <row r="142" spans="1:7" x14ac:dyDescent="0.2">
      <c r="A142" s="15" t="s">
        <v>30</v>
      </c>
      <c r="B142" s="16" t="s">
        <v>10</v>
      </c>
      <c r="C142" s="100">
        <v>3</v>
      </c>
      <c r="D142" s="86">
        <v>36</v>
      </c>
      <c r="E142" s="14">
        <f t="shared" si="1"/>
        <v>12</v>
      </c>
      <c r="G142" s="8"/>
    </row>
    <row r="143" spans="1:7" ht="13.15" customHeight="1" x14ac:dyDescent="0.2">
      <c r="A143" s="15" t="s">
        <v>31</v>
      </c>
      <c r="B143" s="16" t="s">
        <v>10</v>
      </c>
      <c r="C143" s="100">
        <v>3</v>
      </c>
      <c r="D143" s="86">
        <v>39.9</v>
      </c>
      <c r="E143" s="14">
        <f t="shared" si="1"/>
        <v>13.299999999999999</v>
      </c>
      <c r="G143" s="8"/>
    </row>
    <row r="144" spans="1:7" ht="13.9" customHeight="1" x14ac:dyDescent="0.2">
      <c r="A144" s="15" t="s">
        <v>70</v>
      </c>
      <c r="B144" s="16" t="s">
        <v>48</v>
      </c>
      <c r="C144" s="100">
        <v>3</v>
      </c>
      <c r="D144" s="86">
        <v>155</v>
      </c>
      <c r="E144" s="14">
        <f t="shared" si="1"/>
        <v>51.666666666666664</v>
      </c>
      <c r="G144" s="8"/>
    </row>
    <row r="145" spans="1:7" ht="13.15" customHeight="1" x14ac:dyDescent="0.2">
      <c r="A145" s="15" t="s">
        <v>97</v>
      </c>
      <c r="B145" s="16" t="s">
        <v>48</v>
      </c>
      <c r="C145" s="100">
        <v>2</v>
      </c>
      <c r="D145" s="86">
        <v>28.5</v>
      </c>
      <c r="E145" s="14">
        <f t="shared" si="1"/>
        <v>14.25</v>
      </c>
    </row>
    <row r="146" spans="1:7" x14ac:dyDescent="0.2">
      <c r="A146" s="15" t="s">
        <v>69</v>
      </c>
      <c r="B146" s="16" t="s">
        <v>10</v>
      </c>
      <c r="C146" s="100">
        <v>4</v>
      </c>
      <c r="D146" s="86">
        <v>36.4</v>
      </c>
      <c r="E146" s="14">
        <f t="shared" si="1"/>
        <v>9.1</v>
      </c>
    </row>
    <row r="147" spans="1:7" s="1" customFormat="1" x14ac:dyDescent="0.2">
      <c r="A147" s="2" t="s">
        <v>11</v>
      </c>
      <c r="B147" s="3" t="s">
        <v>10</v>
      </c>
      <c r="C147" s="100">
        <v>6</v>
      </c>
      <c r="D147" s="86">
        <v>22.5</v>
      </c>
      <c r="E147" s="14">
        <f t="shared" si="1"/>
        <v>3.75</v>
      </c>
      <c r="F147" s="37"/>
      <c r="G147" s="37"/>
    </row>
    <row r="148" spans="1:7" x14ac:dyDescent="0.2">
      <c r="A148" s="15" t="s">
        <v>32</v>
      </c>
      <c r="B148" s="16" t="s">
        <v>48</v>
      </c>
      <c r="C148" s="100">
        <v>1</v>
      </c>
      <c r="D148" s="86">
        <v>24.08</v>
      </c>
      <c r="E148" s="14">
        <f t="shared" si="1"/>
        <v>24.08</v>
      </c>
    </row>
    <row r="149" spans="1:7" ht="13.15" customHeight="1" x14ac:dyDescent="0.2">
      <c r="A149" s="15" t="s">
        <v>63</v>
      </c>
      <c r="B149" s="16" t="s">
        <v>49</v>
      </c>
      <c r="C149" s="100">
        <v>2</v>
      </c>
      <c r="D149" s="86">
        <v>14.98</v>
      </c>
      <c r="E149" s="14">
        <f t="shared" si="1"/>
        <v>7.49</v>
      </c>
    </row>
    <row r="150" spans="1:7" x14ac:dyDescent="0.2">
      <c r="A150" s="15" t="s">
        <v>210</v>
      </c>
      <c r="B150" s="16" t="s">
        <v>132</v>
      </c>
      <c r="C150" s="120">
        <v>1</v>
      </c>
      <c r="D150" s="86">
        <v>96.8</v>
      </c>
      <c r="E150" s="17">
        <f t="shared" ref="E150:E151" si="2">C150*D150</f>
        <v>96.8</v>
      </c>
    </row>
    <row r="151" spans="1:7" ht="13.5" thickBot="1" x14ac:dyDescent="0.25">
      <c r="A151" s="15" t="s">
        <v>5</v>
      </c>
      <c r="B151" s="16" t="s">
        <v>6</v>
      </c>
      <c r="C151" s="68">
        <f>E31+E32</f>
        <v>2</v>
      </c>
      <c r="D151" s="17">
        <f>+SUM(E140:E150)</f>
        <v>314.10333333333335</v>
      </c>
      <c r="E151" s="17">
        <f t="shared" si="2"/>
        <v>628.20666666666671</v>
      </c>
    </row>
    <row r="152" spans="1:7" ht="13.5" thickBot="1" x14ac:dyDescent="0.25">
      <c r="D152" s="122" t="s">
        <v>207</v>
      </c>
      <c r="E152" s="49">
        <f>$B$41</f>
        <v>1</v>
      </c>
      <c r="F152" s="123">
        <f>E151*E152</f>
        <v>628.20666666666671</v>
      </c>
    </row>
    <row r="153" spans="1:7" ht="11.25" customHeight="1" x14ac:dyDescent="0.2"/>
    <row r="154" spans="1:7" ht="13.9" customHeight="1" x14ac:dyDescent="0.2">
      <c r="A154" s="8" t="s">
        <v>211</v>
      </c>
    </row>
    <row r="155" spans="1:7" ht="11.25" customHeight="1" thickBot="1" x14ac:dyDescent="0.25"/>
    <row r="156" spans="1:7" ht="24.75" thickBot="1" x14ac:dyDescent="0.25">
      <c r="A156" s="59" t="s">
        <v>64</v>
      </c>
      <c r="B156" s="60" t="s">
        <v>65</v>
      </c>
      <c r="C156" s="265" t="s">
        <v>276</v>
      </c>
      <c r="D156" s="61" t="s">
        <v>254</v>
      </c>
      <c r="E156" s="61" t="s">
        <v>66</v>
      </c>
      <c r="F156" s="62" t="s">
        <v>67</v>
      </c>
    </row>
    <row r="157" spans="1:7" x14ac:dyDescent="0.2">
      <c r="A157" s="12" t="s">
        <v>68</v>
      </c>
      <c r="B157" s="13" t="s">
        <v>10</v>
      </c>
      <c r="C157" s="100">
        <v>12</v>
      </c>
      <c r="D157" s="14">
        <f>+D140</f>
        <v>150</v>
      </c>
      <c r="E157" s="14">
        <f>IFERROR(D157/C157,0)</f>
        <v>12.5</v>
      </c>
    </row>
    <row r="158" spans="1:7" x14ac:dyDescent="0.2">
      <c r="A158" s="15" t="s">
        <v>29</v>
      </c>
      <c r="B158" s="16" t="s">
        <v>10</v>
      </c>
      <c r="C158" s="100">
        <v>6</v>
      </c>
      <c r="D158" s="17">
        <f>+D141</f>
        <v>95</v>
      </c>
      <c r="E158" s="14">
        <f t="shared" ref="E158:E162" si="3">IFERROR(D158/C158,0)</f>
        <v>15.833333333333334</v>
      </c>
    </row>
    <row r="159" spans="1:7" x14ac:dyDescent="0.2">
      <c r="A159" s="15" t="s">
        <v>30</v>
      </c>
      <c r="B159" s="16" t="s">
        <v>10</v>
      </c>
      <c r="C159" s="100">
        <v>3</v>
      </c>
      <c r="D159" s="17">
        <f>+D142</f>
        <v>36</v>
      </c>
      <c r="E159" s="14">
        <f t="shared" si="3"/>
        <v>12</v>
      </c>
    </row>
    <row r="160" spans="1:7" x14ac:dyDescent="0.2">
      <c r="A160" s="15" t="s">
        <v>70</v>
      </c>
      <c r="B160" s="16" t="s">
        <v>48</v>
      </c>
      <c r="C160" s="100">
        <v>6</v>
      </c>
      <c r="D160" s="17">
        <v>81.5</v>
      </c>
      <c r="E160" s="14">
        <f t="shared" si="3"/>
        <v>13.583333333333334</v>
      </c>
    </row>
    <row r="161" spans="1:7" x14ac:dyDescent="0.2">
      <c r="A161" s="15" t="s">
        <v>69</v>
      </c>
      <c r="B161" s="16" t="s">
        <v>10</v>
      </c>
      <c r="C161" s="100">
        <v>12</v>
      </c>
      <c r="D161" s="17">
        <f>+D146</f>
        <v>36.4</v>
      </c>
      <c r="E161" s="14">
        <f t="shared" si="3"/>
        <v>3.0333333333333332</v>
      </c>
      <c r="G161" s="8"/>
    </row>
    <row r="162" spans="1:7" x14ac:dyDescent="0.2">
      <c r="A162" s="15" t="s">
        <v>63</v>
      </c>
      <c r="B162" s="16" t="s">
        <v>49</v>
      </c>
      <c r="C162" s="100">
        <v>1</v>
      </c>
      <c r="D162" s="17">
        <f>+D149</f>
        <v>14.98</v>
      </c>
      <c r="E162" s="14">
        <f t="shared" si="3"/>
        <v>14.98</v>
      </c>
      <c r="G162" s="8"/>
    </row>
    <row r="163" spans="1:7" x14ac:dyDescent="0.2">
      <c r="A163" s="15" t="s">
        <v>210</v>
      </c>
      <c r="B163" s="16" t="s">
        <v>132</v>
      </c>
      <c r="C163" s="120">
        <v>1</v>
      </c>
      <c r="D163" s="86">
        <v>80</v>
      </c>
      <c r="E163" s="17">
        <f t="shared" ref="E163:E164" si="4">C163*D163</f>
        <v>80</v>
      </c>
      <c r="G163" s="8"/>
    </row>
    <row r="164" spans="1:7" ht="13.5" thickBot="1" x14ac:dyDescent="0.25">
      <c r="A164" s="15" t="s">
        <v>5</v>
      </c>
      <c r="B164" s="16" t="s">
        <v>6</v>
      </c>
      <c r="C164" s="68">
        <f>E33+E34</f>
        <v>1</v>
      </c>
      <c r="D164" s="17">
        <f>+SUM(E157:E163)</f>
        <v>151.93</v>
      </c>
      <c r="E164" s="17">
        <f t="shared" si="4"/>
        <v>151.93</v>
      </c>
      <c r="G164" s="8"/>
    </row>
    <row r="165" spans="1:7" ht="13.5" thickBot="1" x14ac:dyDescent="0.25">
      <c r="D165" s="122" t="s">
        <v>207</v>
      </c>
      <c r="E165" s="49">
        <f>$B$41</f>
        <v>1</v>
      </c>
      <c r="F165" s="123">
        <f>E164*E165</f>
        <v>151.93</v>
      </c>
      <c r="G165" s="8"/>
    </row>
    <row r="166" spans="1:7" ht="11.25" customHeight="1" thickBot="1" x14ac:dyDescent="0.25">
      <c r="G166" s="8"/>
    </row>
    <row r="167" spans="1:7" ht="13.5" thickBot="1" x14ac:dyDescent="0.25">
      <c r="A167" s="23" t="s">
        <v>212</v>
      </c>
      <c r="B167" s="27"/>
      <c r="C167" s="27"/>
      <c r="D167" s="28"/>
      <c r="E167" s="29"/>
      <c r="F167" s="20">
        <f>+F152+F165</f>
        <v>780.13666666666677</v>
      </c>
      <c r="G167" s="8"/>
    </row>
    <row r="168" spans="1:7" ht="11.25" customHeight="1" x14ac:dyDescent="0.2">
      <c r="G168" s="8"/>
    </row>
    <row r="169" spans="1:7" x14ac:dyDescent="0.2">
      <c r="A169" s="10" t="s">
        <v>54</v>
      </c>
      <c r="G169" s="8"/>
    </row>
    <row r="170" spans="1:7" ht="11.25" customHeight="1" x14ac:dyDescent="0.2">
      <c r="B170" s="106"/>
      <c r="G170" s="8"/>
    </row>
    <row r="171" spans="1:7" x14ac:dyDescent="0.2">
      <c r="A171" s="6" t="s">
        <v>310</v>
      </c>
      <c r="G171" s="8"/>
    </row>
    <row r="172" spans="1:7" ht="11.25" customHeight="1" x14ac:dyDescent="0.2">
      <c r="G172" s="8"/>
    </row>
    <row r="173" spans="1:7" ht="13.5" thickBot="1" x14ac:dyDescent="0.25">
      <c r="A173" s="106" t="s">
        <v>46</v>
      </c>
      <c r="G173" s="8"/>
    </row>
    <row r="174" spans="1:7" ht="13.5" thickBot="1" x14ac:dyDescent="0.25">
      <c r="A174" s="59" t="s">
        <v>64</v>
      </c>
      <c r="B174" s="60" t="s">
        <v>65</v>
      </c>
      <c r="C174" s="60" t="s">
        <v>40</v>
      </c>
      <c r="D174" s="61" t="s">
        <v>254</v>
      </c>
      <c r="E174" s="61" t="s">
        <v>66</v>
      </c>
      <c r="F174" s="62" t="s">
        <v>67</v>
      </c>
      <c r="G174" s="8"/>
    </row>
    <row r="175" spans="1:7" x14ac:dyDescent="0.2">
      <c r="A175" s="12" t="s">
        <v>114</v>
      </c>
      <c r="B175" s="13" t="s">
        <v>10</v>
      </c>
      <c r="C175" s="271">
        <v>1</v>
      </c>
      <c r="D175" s="86">
        <v>56000</v>
      </c>
      <c r="E175" s="14">
        <f>C175*D175</f>
        <v>56000</v>
      </c>
      <c r="G175" s="8"/>
    </row>
    <row r="176" spans="1:7" x14ac:dyDescent="0.2">
      <c r="A176" s="15" t="s">
        <v>108</v>
      </c>
      <c r="B176" s="16" t="s">
        <v>109</v>
      </c>
      <c r="C176" s="85">
        <v>10</v>
      </c>
      <c r="D176" s="82"/>
      <c r="E176" s="17"/>
      <c r="G176" s="8"/>
    </row>
    <row r="177" spans="1:10" x14ac:dyDescent="0.2">
      <c r="A177" s="15" t="s">
        <v>224</v>
      </c>
      <c r="B177" s="16" t="s">
        <v>109</v>
      </c>
      <c r="C177" s="85">
        <v>10</v>
      </c>
      <c r="D177" s="17"/>
      <c r="E177" s="17"/>
      <c r="F177" s="19"/>
      <c r="I177" s="84"/>
      <c r="J177" s="84"/>
    </row>
    <row r="178" spans="1:10" x14ac:dyDescent="0.2">
      <c r="A178" s="15" t="s">
        <v>112</v>
      </c>
      <c r="B178" s="16" t="s">
        <v>2</v>
      </c>
      <c r="C178" s="138">
        <f>IFERROR(VLOOKUP(C176,'5. Depreciação'!A3:B17,2,FALSE),0)</f>
        <v>65.180000000000007</v>
      </c>
      <c r="D178" s="17">
        <f>E175</f>
        <v>56000</v>
      </c>
      <c r="E178" s="17">
        <f>C178*D178/100</f>
        <v>36500.800000000003</v>
      </c>
    </row>
    <row r="179" spans="1:10" ht="13.5" thickBot="1" x14ac:dyDescent="0.25">
      <c r="A179" s="277" t="s">
        <v>50</v>
      </c>
      <c r="B179" s="278" t="s">
        <v>8</v>
      </c>
      <c r="C179" s="278">
        <f>C176*12</f>
        <v>120</v>
      </c>
      <c r="D179" s="279">
        <f>IF(C177&lt;=C176,E178,0)</f>
        <v>36500.800000000003</v>
      </c>
      <c r="E179" s="279">
        <f>IFERROR(D179/C179,0)</f>
        <v>304.17333333333335</v>
      </c>
    </row>
    <row r="180" spans="1:10" ht="13.5" thickTop="1" x14ac:dyDescent="0.2">
      <c r="A180" s="12" t="s">
        <v>113</v>
      </c>
      <c r="B180" s="13" t="s">
        <v>10</v>
      </c>
      <c r="C180" s="13">
        <f>C175</f>
        <v>1</v>
      </c>
      <c r="D180" s="86">
        <v>9800</v>
      </c>
      <c r="E180" s="14">
        <f>C180*D180</f>
        <v>9800</v>
      </c>
      <c r="G180" s="8"/>
    </row>
    <row r="181" spans="1:10" x14ac:dyDescent="0.2">
      <c r="A181" s="15" t="s">
        <v>110</v>
      </c>
      <c r="B181" s="16" t="s">
        <v>109</v>
      </c>
      <c r="C181" s="85">
        <v>10</v>
      </c>
      <c r="D181" s="17"/>
      <c r="E181" s="17"/>
    </row>
    <row r="182" spans="1:10" x14ac:dyDescent="0.2">
      <c r="A182" s="15" t="s">
        <v>225</v>
      </c>
      <c r="B182" s="16" t="s">
        <v>109</v>
      </c>
      <c r="C182" s="85"/>
      <c r="D182" s="17"/>
      <c r="E182" s="17"/>
      <c r="F182" s="19"/>
      <c r="I182" s="84"/>
      <c r="J182" s="84"/>
    </row>
    <row r="183" spans="1:10" x14ac:dyDescent="0.2">
      <c r="A183" s="15" t="s">
        <v>111</v>
      </c>
      <c r="B183" s="16" t="s">
        <v>2</v>
      </c>
      <c r="C183" s="139">
        <f>IFERROR(VLOOKUP(C181,'5. Depreciação'!A3:B17,2,FALSE),0)</f>
        <v>65.180000000000007</v>
      </c>
      <c r="D183" s="17">
        <f>E180</f>
        <v>9800</v>
      </c>
      <c r="E183" s="17">
        <f>C183*D183/100</f>
        <v>6387.6400000000012</v>
      </c>
    </row>
    <row r="184" spans="1:10" x14ac:dyDescent="0.2">
      <c r="A184" s="102" t="s">
        <v>115</v>
      </c>
      <c r="B184" s="103" t="s">
        <v>8</v>
      </c>
      <c r="C184" s="103">
        <f>C181*12</f>
        <v>120</v>
      </c>
      <c r="D184" s="104">
        <f>IF(C182&lt;=C181,E183,0)</f>
        <v>6387.6400000000012</v>
      </c>
      <c r="E184" s="104">
        <f>IFERROR(D184/C184,0)</f>
        <v>53.230333333333341</v>
      </c>
    </row>
    <row r="185" spans="1:10" x14ac:dyDescent="0.2">
      <c r="A185" s="115" t="s">
        <v>279</v>
      </c>
      <c r="B185" s="116"/>
      <c r="C185" s="116"/>
      <c r="D185" s="117"/>
      <c r="E185" s="118">
        <f>E179+E184</f>
        <v>357.40366666666671</v>
      </c>
    </row>
    <row r="186" spans="1:10" ht="13.5" thickBot="1" x14ac:dyDescent="0.25">
      <c r="A186" s="102" t="s">
        <v>280</v>
      </c>
      <c r="B186" s="103" t="s">
        <v>10</v>
      </c>
      <c r="C186" s="85">
        <v>1</v>
      </c>
      <c r="D186" s="104">
        <f>E185</f>
        <v>357.40366666666671</v>
      </c>
      <c r="E186" s="118">
        <f>C186*D186</f>
        <v>357.40366666666671</v>
      </c>
    </row>
    <row r="187" spans="1:10" ht="13.5" thickBot="1" x14ac:dyDescent="0.25">
      <c r="A187" s="270"/>
      <c r="B187" s="270"/>
      <c r="C187" s="270"/>
      <c r="D187" s="122" t="s">
        <v>207</v>
      </c>
      <c r="E187" s="49">
        <f>$B$41</f>
        <v>1</v>
      </c>
      <c r="F187" s="20">
        <f>E186*E187</f>
        <v>357.40366666666671</v>
      </c>
    </row>
    <row r="188" spans="1:10" ht="11.25" customHeight="1" x14ac:dyDescent="0.2"/>
    <row r="189" spans="1:10" ht="13.5" thickBot="1" x14ac:dyDescent="0.25">
      <c r="A189" s="106" t="s">
        <v>120</v>
      </c>
    </row>
    <row r="190" spans="1:10" ht="13.5" thickBot="1" x14ac:dyDescent="0.25">
      <c r="A190" s="108" t="s">
        <v>64</v>
      </c>
      <c r="B190" s="109" t="s">
        <v>65</v>
      </c>
      <c r="C190" s="109" t="s">
        <v>40</v>
      </c>
      <c r="D190" s="61" t="s">
        <v>254</v>
      </c>
      <c r="E190" s="110" t="s">
        <v>66</v>
      </c>
      <c r="F190" s="62" t="s">
        <v>67</v>
      </c>
      <c r="I190" s="84"/>
      <c r="J190" s="84"/>
    </row>
    <row r="191" spans="1:10" x14ac:dyDescent="0.2">
      <c r="A191" s="15" t="s">
        <v>118</v>
      </c>
      <c r="B191" s="16" t="s">
        <v>10</v>
      </c>
      <c r="C191" s="271">
        <v>1</v>
      </c>
      <c r="D191" s="17">
        <f>D175</f>
        <v>56000</v>
      </c>
      <c r="E191" s="17">
        <f>C191*D191</f>
        <v>56000</v>
      </c>
      <c r="F191" s="19"/>
      <c r="I191" s="84"/>
      <c r="J191" s="84"/>
    </row>
    <row r="192" spans="1:10" x14ac:dyDescent="0.2">
      <c r="A192" s="15" t="s">
        <v>228</v>
      </c>
      <c r="B192" s="16" t="s">
        <v>2</v>
      </c>
      <c r="C192" s="85">
        <v>6.5</v>
      </c>
      <c r="D192" s="17"/>
      <c r="E192" s="17"/>
      <c r="F192" s="19"/>
      <c r="I192" s="84"/>
      <c r="J192" s="84"/>
    </row>
    <row r="193" spans="1:10" x14ac:dyDescent="0.2">
      <c r="A193" s="15" t="s">
        <v>226</v>
      </c>
      <c r="B193" s="16" t="s">
        <v>33</v>
      </c>
      <c r="C193" s="146">
        <f>IFERROR(IF(C177&lt;=C176,E175-(C178/(100*C176)*C177)*E175,E175-E178),0)</f>
        <v>19499.199999999997</v>
      </c>
      <c r="D193" s="17"/>
      <c r="E193" s="17"/>
      <c r="F193" s="19"/>
      <c r="I193" s="84"/>
      <c r="J193" s="84"/>
    </row>
    <row r="194" spans="1:10" x14ac:dyDescent="0.2">
      <c r="A194" s="15" t="s">
        <v>123</v>
      </c>
      <c r="B194" s="16" t="s">
        <v>33</v>
      </c>
      <c r="C194" s="82">
        <f>IFERROR(IF(C177&gt;=C176,C193,((((C193)-(E175-E178))*(((C176-C177)+1)/(2*(C176-C177))))+(E175-E178))),0)</f>
        <v>19499.199999999997</v>
      </c>
      <c r="D194" s="17"/>
      <c r="E194" s="17"/>
      <c r="F194" s="19"/>
      <c r="I194" s="84"/>
      <c r="J194" s="84"/>
    </row>
    <row r="195" spans="1:10" ht="13.5" thickBot="1" x14ac:dyDescent="0.25">
      <c r="A195" s="277" t="s">
        <v>124</v>
      </c>
      <c r="B195" s="278" t="s">
        <v>33</v>
      </c>
      <c r="C195" s="278"/>
      <c r="D195" s="280">
        <f>C192*C194/12/100</f>
        <v>105.62066666666665</v>
      </c>
      <c r="E195" s="279">
        <f>D195</f>
        <v>105.62066666666665</v>
      </c>
      <c r="F195" s="19"/>
      <c r="I195" s="84"/>
      <c r="J195" s="84"/>
    </row>
    <row r="196" spans="1:10" ht="13.5" thickTop="1" x14ac:dyDescent="0.2">
      <c r="A196" s="12" t="s">
        <v>119</v>
      </c>
      <c r="B196" s="13" t="s">
        <v>10</v>
      </c>
      <c r="C196" s="13">
        <f>C180</f>
        <v>1</v>
      </c>
      <c r="D196" s="14">
        <f>D180</f>
        <v>9800</v>
      </c>
      <c r="E196" s="14">
        <f>C196*D196</f>
        <v>9800</v>
      </c>
      <c r="F196" s="19"/>
      <c r="I196" s="84"/>
      <c r="J196" s="84"/>
    </row>
    <row r="197" spans="1:10" x14ac:dyDescent="0.2">
      <c r="A197" s="15" t="s">
        <v>228</v>
      </c>
      <c r="B197" s="16" t="s">
        <v>2</v>
      </c>
      <c r="C197" s="272">
        <f>C192</f>
        <v>6.5</v>
      </c>
      <c r="D197" s="17"/>
      <c r="E197" s="17"/>
      <c r="F197" s="19"/>
      <c r="I197" s="84"/>
      <c r="J197" s="84"/>
    </row>
    <row r="198" spans="1:10" x14ac:dyDescent="0.2">
      <c r="A198" s="15" t="s">
        <v>227</v>
      </c>
      <c r="B198" s="16" t="s">
        <v>33</v>
      </c>
      <c r="C198" s="146">
        <f>IFERROR(IF(C182&lt;=C181,E180-(C183/(100*C181)*C182)*E180,E180-E183),0)</f>
        <v>9800</v>
      </c>
      <c r="D198" s="17"/>
      <c r="E198" s="17"/>
      <c r="F198" s="19"/>
      <c r="I198" s="84"/>
      <c r="J198" s="84"/>
    </row>
    <row r="199" spans="1:10" x14ac:dyDescent="0.2">
      <c r="A199" s="15" t="s">
        <v>125</v>
      </c>
      <c r="B199" s="16" t="s">
        <v>33</v>
      </c>
      <c r="C199" s="82">
        <f>IFERROR(IF(C182&gt;=C181,C198,((((C198)-(E180-E183))*(((C181-C182)+1)/(2*(C181-C182))))+(E180-E183))),0)</f>
        <v>6925.5619999999999</v>
      </c>
      <c r="D199" s="17"/>
      <c r="E199" s="17"/>
      <c r="F199" s="19"/>
      <c r="I199" s="84"/>
      <c r="J199" s="84"/>
    </row>
    <row r="200" spans="1:10" x14ac:dyDescent="0.2">
      <c r="A200" s="102" t="s">
        <v>122</v>
      </c>
      <c r="B200" s="103" t="s">
        <v>33</v>
      </c>
      <c r="C200" s="103"/>
      <c r="D200" s="112">
        <f>C197*C199/12/100</f>
        <v>37.513460833333333</v>
      </c>
      <c r="E200" s="104">
        <f>D200</f>
        <v>37.513460833333333</v>
      </c>
      <c r="F200" s="19"/>
      <c r="I200" s="84"/>
      <c r="J200" s="84"/>
    </row>
    <row r="201" spans="1:10" x14ac:dyDescent="0.2">
      <c r="A201" s="115" t="s">
        <v>279</v>
      </c>
      <c r="B201" s="116"/>
      <c r="C201" s="116"/>
      <c r="D201" s="117"/>
      <c r="E201" s="118">
        <f>E195+E200</f>
        <v>143.13412749999998</v>
      </c>
      <c r="F201" s="19"/>
      <c r="I201" s="84"/>
      <c r="J201" s="84"/>
    </row>
    <row r="202" spans="1:10" ht="13.5" thickBot="1" x14ac:dyDescent="0.25">
      <c r="A202" s="102" t="s">
        <v>280</v>
      </c>
      <c r="B202" s="103" t="s">
        <v>10</v>
      </c>
      <c r="C202" s="272">
        <f>C186</f>
        <v>1</v>
      </c>
      <c r="D202" s="104">
        <f>E201</f>
        <v>143.13412749999998</v>
      </c>
      <c r="E202" s="118">
        <f>C202*D202</f>
        <v>143.13412749999998</v>
      </c>
      <c r="F202" s="19"/>
      <c r="I202" s="84"/>
      <c r="J202" s="84"/>
    </row>
    <row r="203" spans="1:10" ht="13.5" thickBot="1" x14ac:dyDescent="0.25">
      <c r="C203" s="18"/>
      <c r="D203" s="122" t="s">
        <v>207</v>
      </c>
      <c r="E203" s="49">
        <f>$B$41</f>
        <v>1</v>
      </c>
      <c r="F203" s="20">
        <f>E202*E203</f>
        <v>143.13412749999998</v>
      </c>
      <c r="I203" s="84"/>
      <c r="J203" s="84"/>
    </row>
    <row r="204" spans="1:10" ht="11.25" customHeight="1" x14ac:dyDescent="0.2">
      <c r="I204" s="84"/>
      <c r="J204" s="84"/>
    </row>
    <row r="205" spans="1:10" ht="13.5" thickBot="1" x14ac:dyDescent="0.25">
      <c r="A205" s="8" t="s">
        <v>51</v>
      </c>
      <c r="I205" s="84"/>
      <c r="J205" s="84"/>
    </row>
    <row r="206" spans="1:10" ht="13.5" thickBot="1" x14ac:dyDescent="0.25">
      <c r="A206" s="59" t="s">
        <v>64</v>
      </c>
      <c r="B206" s="60" t="s">
        <v>65</v>
      </c>
      <c r="C206" s="60" t="s">
        <v>40</v>
      </c>
      <c r="D206" s="61" t="s">
        <v>254</v>
      </c>
      <c r="E206" s="61" t="s">
        <v>66</v>
      </c>
      <c r="F206" s="62" t="s">
        <v>67</v>
      </c>
      <c r="I206" s="84"/>
      <c r="J206" s="84"/>
    </row>
    <row r="207" spans="1:10" x14ac:dyDescent="0.2">
      <c r="A207" s="12" t="s">
        <v>12</v>
      </c>
      <c r="B207" s="13" t="s">
        <v>10</v>
      </c>
      <c r="C207" s="14">
        <f>C186</f>
        <v>1</v>
      </c>
      <c r="D207" s="14">
        <f>0.01*($E$175)</f>
        <v>560</v>
      </c>
      <c r="E207" s="14">
        <f>C207*D207</f>
        <v>560</v>
      </c>
      <c r="I207" s="84"/>
      <c r="J207" s="84"/>
    </row>
    <row r="208" spans="1:10" x14ac:dyDescent="0.2">
      <c r="A208" s="15" t="s">
        <v>206</v>
      </c>
      <c r="B208" s="16" t="s">
        <v>10</v>
      </c>
      <c r="C208" s="14">
        <f>C186</f>
        <v>1</v>
      </c>
      <c r="D208" s="88">
        <v>190</v>
      </c>
      <c r="E208" s="17">
        <f>C208*D208</f>
        <v>190</v>
      </c>
      <c r="I208" s="84"/>
      <c r="J208" s="84"/>
    </row>
    <row r="209" spans="1:10" x14ac:dyDescent="0.2">
      <c r="A209" s="15" t="s">
        <v>13</v>
      </c>
      <c r="B209" s="16" t="s">
        <v>10</v>
      </c>
      <c r="C209" s="14">
        <f>C186</f>
        <v>1</v>
      </c>
      <c r="D209" s="88">
        <v>1800</v>
      </c>
      <c r="E209" s="17">
        <f>C209*D209</f>
        <v>1800</v>
      </c>
      <c r="F209" s="30"/>
      <c r="I209" s="84"/>
      <c r="J209" s="84"/>
    </row>
    <row r="210" spans="1:10" ht="13.5" thickBot="1" x14ac:dyDescent="0.25">
      <c r="A210" s="102" t="s">
        <v>14</v>
      </c>
      <c r="B210" s="103" t="s">
        <v>8</v>
      </c>
      <c r="C210" s="103">
        <v>12</v>
      </c>
      <c r="D210" s="104">
        <f>SUM(E207:E209)</f>
        <v>2550</v>
      </c>
      <c r="E210" s="104">
        <f>D210/C210</f>
        <v>212.5</v>
      </c>
      <c r="I210" s="84"/>
      <c r="J210" s="84"/>
    </row>
    <row r="211" spans="1:10" ht="13.5" thickBot="1" x14ac:dyDescent="0.25">
      <c r="D211" s="122" t="s">
        <v>207</v>
      </c>
      <c r="E211" s="49">
        <f>$B$41</f>
        <v>1</v>
      </c>
      <c r="F211" s="123">
        <f>E210*E211</f>
        <v>212.5</v>
      </c>
      <c r="I211" s="84"/>
      <c r="J211" s="84"/>
    </row>
    <row r="212" spans="1:10" ht="11.25" customHeight="1" x14ac:dyDescent="0.2">
      <c r="I212" s="84"/>
      <c r="J212" s="84"/>
    </row>
    <row r="213" spans="1:10" x14ac:dyDescent="0.2">
      <c r="A213" s="8" t="s">
        <v>52</v>
      </c>
      <c r="B213" s="31"/>
      <c r="I213" s="84"/>
      <c r="J213" s="84"/>
    </row>
    <row r="214" spans="1:10" x14ac:dyDescent="0.2">
      <c r="B214" s="31"/>
      <c r="I214" s="84"/>
      <c r="J214" s="84"/>
    </row>
    <row r="215" spans="1:10" x14ac:dyDescent="0.2">
      <c r="A215" s="102" t="s">
        <v>127</v>
      </c>
      <c r="B215" s="301">
        <v>369.44</v>
      </c>
      <c r="I215" s="84"/>
      <c r="J215" s="84"/>
    </row>
    <row r="216" spans="1:10" ht="13.5" thickBot="1" x14ac:dyDescent="0.25">
      <c r="B216" s="31"/>
      <c r="I216" s="84"/>
      <c r="J216" s="84"/>
    </row>
    <row r="217" spans="1:10" ht="13.5" thickBot="1" x14ac:dyDescent="0.25">
      <c r="A217" s="59" t="s">
        <v>64</v>
      </c>
      <c r="B217" s="60" t="s">
        <v>65</v>
      </c>
      <c r="C217" s="60" t="s">
        <v>278</v>
      </c>
      <c r="D217" s="61" t="s">
        <v>254</v>
      </c>
      <c r="E217" s="61" t="s">
        <v>66</v>
      </c>
      <c r="F217" s="62" t="s">
        <v>67</v>
      </c>
      <c r="I217" s="84"/>
      <c r="J217" s="84"/>
    </row>
    <row r="218" spans="1:10" x14ac:dyDescent="0.2">
      <c r="A218" s="12" t="s">
        <v>15</v>
      </c>
      <c r="B218" s="13" t="s">
        <v>16</v>
      </c>
      <c r="C218" s="96">
        <v>2</v>
      </c>
      <c r="D218" s="97">
        <v>3.48</v>
      </c>
      <c r="E218" s="14"/>
      <c r="I218" s="84"/>
      <c r="J218" s="84"/>
    </row>
    <row r="219" spans="1:10" x14ac:dyDescent="0.2">
      <c r="A219" s="15" t="s">
        <v>17</v>
      </c>
      <c r="B219" s="16" t="s">
        <v>18</v>
      </c>
      <c r="C219" s="93">
        <f>B215</f>
        <v>369.44</v>
      </c>
      <c r="D219" s="269">
        <v>1.55</v>
      </c>
      <c r="E219" s="17">
        <f>IFERROR(C219*D219,"-")</f>
        <v>572.63200000000006</v>
      </c>
      <c r="I219" s="84"/>
      <c r="J219" s="84"/>
    </row>
    <row r="220" spans="1:10" x14ac:dyDescent="0.2">
      <c r="A220" s="15" t="s">
        <v>255</v>
      </c>
      <c r="B220" s="16" t="s">
        <v>19</v>
      </c>
      <c r="C220" s="99">
        <v>5</v>
      </c>
      <c r="D220" s="88">
        <v>4.9800000000000004</v>
      </c>
      <c r="E220" s="17"/>
      <c r="G220" s="111"/>
      <c r="H220" s="51"/>
      <c r="I220" s="84"/>
      <c r="J220" s="84"/>
    </row>
    <row r="221" spans="1:10" x14ac:dyDescent="0.2">
      <c r="A221" s="15" t="s">
        <v>20</v>
      </c>
      <c r="B221" s="16" t="s">
        <v>18</v>
      </c>
      <c r="C221" s="93">
        <f>C219</f>
        <v>369.44</v>
      </c>
      <c r="D221" s="266">
        <v>2.5000000000000001E-2</v>
      </c>
      <c r="E221" s="17">
        <f>C221*D221</f>
        <v>9.2360000000000007</v>
      </c>
      <c r="G221" s="111"/>
      <c r="H221" s="51"/>
      <c r="I221" s="84"/>
      <c r="J221" s="84"/>
    </row>
    <row r="222" spans="1:10" x14ac:dyDescent="0.2">
      <c r="A222" s="15" t="s">
        <v>256</v>
      </c>
      <c r="B222" s="16" t="s">
        <v>19</v>
      </c>
      <c r="C222" s="99">
        <v>0.13</v>
      </c>
      <c r="D222" s="88">
        <v>20</v>
      </c>
      <c r="E222" s="17"/>
      <c r="G222" s="111"/>
      <c r="H222" s="51"/>
      <c r="I222" s="84"/>
      <c r="J222" s="84"/>
    </row>
    <row r="223" spans="1:10" x14ac:dyDescent="0.2">
      <c r="A223" s="15" t="s">
        <v>21</v>
      </c>
      <c r="B223" s="16" t="s">
        <v>18</v>
      </c>
      <c r="C223" s="93">
        <f>C219</f>
        <v>369.44</v>
      </c>
      <c r="D223" s="266">
        <f>+C222*D222/1000</f>
        <v>2.5999999999999999E-3</v>
      </c>
      <c r="E223" s="17">
        <f>C223*D223</f>
        <v>0.96054399999999995</v>
      </c>
      <c r="G223" s="111"/>
      <c r="H223" s="51"/>
      <c r="I223" s="84"/>
      <c r="J223" s="84"/>
    </row>
    <row r="224" spans="1:10" x14ac:dyDescent="0.2">
      <c r="A224" s="15" t="s">
        <v>257</v>
      </c>
      <c r="B224" s="16" t="s">
        <v>19</v>
      </c>
      <c r="C224" s="99">
        <v>15</v>
      </c>
      <c r="D224" s="88">
        <v>3.1</v>
      </c>
      <c r="E224" s="17"/>
      <c r="G224" s="111"/>
      <c r="H224" s="51"/>
      <c r="I224" s="84"/>
      <c r="J224" s="84"/>
    </row>
    <row r="225" spans="1:10" x14ac:dyDescent="0.2">
      <c r="A225" s="15" t="s">
        <v>22</v>
      </c>
      <c r="B225" s="16" t="s">
        <v>18</v>
      </c>
      <c r="C225" s="93">
        <f>C219</f>
        <v>369.44</v>
      </c>
      <c r="D225" s="266">
        <f>+C224*D224/1000</f>
        <v>4.65E-2</v>
      </c>
      <c r="E225" s="17">
        <f>C225*D225</f>
        <v>17.17896</v>
      </c>
      <c r="G225" s="111"/>
      <c r="H225" s="51"/>
      <c r="I225" s="84"/>
      <c r="J225" s="84"/>
    </row>
    <row r="226" spans="1:10" x14ac:dyDescent="0.2">
      <c r="A226" s="15" t="s">
        <v>23</v>
      </c>
      <c r="B226" s="16" t="s">
        <v>24</v>
      </c>
      <c r="C226" s="99">
        <v>200</v>
      </c>
      <c r="D226" s="88">
        <v>9.19</v>
      </c>
      <c r="E226" s="17"/>
      <c r="G226" s="111"/>
      <c r="H226" s="51"/>
      <c r="I226" s="84"/>
      <c r="J226" s="84"/>
    </row>
    <row r="227" spans="1:10" x14ac:dyDescent="0.2">
      <c r="A227" s="15" t="s">
        <v>25</v>
      </c>
      <c r="B227" s="16" t="s">
        <v>18</v>
      </c>
      <c r="C227" s="93">
        <f>C219</f>
        <v>369.44</v>
      </c>
      <c r="D227" s="266">
        <f>+C226*D226/1000</f>
        <v>1.8380000000000001</v>
      </c>
      <c r="E227" s="17">
        <f>C227*D227</f>
        <v>679.03071999999997</v>
      </c>
      <c r="G227" s="111"/>
      <c r="H227" s="51"/>
      <c r="I227" s="84"/>
      <c r="J227" s="84"/>
    </row>
    <row r="228" spans="1:10" ht="13.5" thickBot="1" x14ac:dyDescent="0.25">
      <c r="A228" s="102" t="s">
        <v>277</v>
      </c>
      <c r="B228" s="103" t="s">
        <v>128</v>
      </c>
      <c r="C228" s="267">
        <v>200</v>
      </c>
      <c r="D228" s="268">
        <f>IFERROR(D219+D221+D223+D225+D227,0)</f>
        <v>3.4621</v>
      </c>
      <c r="E228" s="17"/>
      <c r="G228" s="111"/>
      <c r="H228" s="51"/>
      <c r="I228" s="84"/>
      <c r="J228" s="84"/>
    </row>
    <row r="229" spans="1:10" ht="13.5" thickBot="1" x14ac:dyDescent="0.25">
      <c r="F229" s="20">
        <f>SUM(E218:E227)</f>
        <v>1279.0382239999999</v>
      </c>
      <c r="I229" s="84"/>
      <c r="J229" s="84"/>
    </row>
    <row r="230" spans="1:10" ht="11.25" customHeight="1" x14ac:dyDescent="0.2">
      <c r="I230" s="84"/>
      <c r="J230" s="84"/>
    </row>
    <row r="231" spans="1:10" ht="13.5" thickBot="1" x14ac:dyDescent="0.25">
      <c r="A231" s="8" t="s">
        <v>53</v>
      </c>
      <c r="I231" s="84"/>
      <c r="J231" s="84"/>
    </row>
    <row r="232" spans="1:10" ht="13.5" thickBot="1" x14ac:dyDescent="0.25">
      <c r="A232" s="59" t="s">
        <v>64</v>
      </c>
      <c r="B232" s="60" t="s">
        <v>65</v>
      </c>
      <c r="C232" s="60" t="s">
        <v>40</v>
      </c>
      <c r="D232" s="61" t="s">
        <v>254</v>
      </c>
      <c r="E232" s="61" t="s">
        <v>66</v>
      </c>
      <c r="F232" s="62" t="s">
        <v>67</v>
      </c>
      <c r="I232" s="84"/>
      <c r="J232" s="84"/>
    </row>
    <row r="233" spans="1:10" ht="13.5" thickBot="1" x14ac:dyDescent="0.25">
      <c r="A233" s="12" t="s">
        <v>126</v>
      </c>
      <c r="B233" s="13" t="s">
        <v>128</v>
      </c>
      <c r="C233" s="93">
        <f>C219</f>
        <v>369.44</v>
      </c>
      <c r="D233" s="86">
        <v>0.98</v>
      </c>
      <c r="E233" s="14">
        <f>C233*D233</f>
        <v>362.05119999999999</v>
      </c>
      <c r="I233" s="84"/>
      <c r="J233" s="84"/>
    </row>
    <row r="234" spans="1:10" ht="13.5" thickBot="1" x14ac:dyDescent="0.25">
      <c r="F234" s="20">
        <f>E233</f>
        <v>362.05119999999999</v>
      </c>
      <c r="I234" s="84"/>
      <c r="J234" s="84"/>
    </row>
    <row r="235" spans="1:10" ht="11.25" customHeight="1" x14ac:dyDescent="0.2">
      <c r="I235" s="84"/>
      <c r="J235" s="84"/>
    </row>
    <row r="236" spans="1:10" ht="13.5" thickBot="1" x14ac:dyDescent="0.25">
      <c r="A236" s="8" t="s">
        <v>62</v>
      </c>
      <c r="I236" s="84"/>
      <c r="J236" s="84"/>
    </row>
    <row r="237" spans="1:10" ht="13.5" thickBot="1" x14ac:dyDescent="0.25">
      <c r="A237" s="59" t="s">
        <v>64</v>
      </c>
      <c r="B237" s="60" t="s">
        <v>65</v>
      </c>
      <c r="C237" s="60" t="s">
        <v>40</v>
      </c>
      <c r="D237" s="61" t="s">
        <v>254</v>
      </c>
      <c r="E237" s="61" t="s">
        <v>66</v>
      </c>
      <c r="F237" s="62" t="s">
        <v>67</v>
      </c>
      <c r="I237" s="84"/>
      <c r="J237" s="84"/>
    </row>
    <row r="238" spans="1:10" x14ac:dyDescent="0.2">
      <c r="A238" s="12" t="s">
        <v>98</v>
      </c>
      <c r="B238" s="13" t="s">
        <v>10</v>
      </c>
      <c r="C238" s="95">
        <v>6</v>
      </c>
      <c r="D238" s="86">
        <v>680</v>
      </c>
      <c r="E238" s="14">
        <f>C238*D238</f>
        <v>4080</v>
      </c>
      <c r="I238" s="84"/>
      <c r="J238" s="84"/>
    </row>
    <row r="239" spans="1:10" x14ac:dyDescent="0.2">
      <c r="A239" s="12" t="s">
        <v>129</v>
      </c>
      <c r="B239" s="13" t="s">
        <v>10</v>
      </c>
      <c r="C239" s="95">
        <v>2</v>
      </c>
      <c r="D239" s="105">
        <v>200</v>
      </c>
      <c r="E239" s="14"/>
      <c r="I239" s="84"/>
      <c r="J239" s="84"/>
    </row>
    <row r="240" spans="1:10" x14ac:dyDescent="0.2">
      <c r="A240" s="12" t="s">
        <v>71</v>
      </c>
      <c r="B240" s="13" t="s">
        <v>10</v>
      </c>
      <c r="C240" s="14">
        <f>C238*C239</f>
        <v>12</v>
      </c>
      <c r="D240" s="86">
        <v>250</v>
      </c>
      <c r="E240" s="14">
        <f>C240*D240</f>
        <v>3000</v>
      </c>
      <c r="I240" s="84"/>
      <c r="J240" s="84"/>
    </row>
    <row r="241" spans="1:10" x14ac:dyDescent="0.2">
      <c r="A241" s="15" t="s">
        <v>99</v>
      </c>
      <c r="B241" s="16" t="s">
        <v>26</v>
      </c>
      <c r="C241" s="98"/>
      <c r="D241" s="17">
        <f>E238+E240</f>
        <v>7080</v>
      </c>
      <c r="E241" s="17" t="str">
        <f>IFERROR(D241/C241,"-")</f>
        <v>-</v>
      </c>
      <c r="I241" s="84"/>
      <c r="J241" s="84"/>
    </row>
    <row r="242" spans="1:10" ht="13.5" thickBot="1" x14ac:dyDescent="0.25">
      <c r="A242" s="15" t="s">
        <v>55</v>
      </c>
      <c r="B242" s="16" t="s">
        <v>18</v>
      </c>
      <c r="C242" s="93">
        <f>B215</f>
        <v>369.44</v>
      </c>
      <c r="D242" s="17">
        <v>6.8000000000000005E-2</v>
      </c>
      <c r="E242" s="17">
        <f>IFERROR(C242*D242,0)</f>
        <v>25.121920000000003</v>
      </c>
      <c r="I242" s="84"/>
      <c r="J242" s="84"/>
    </row>
    <row r="243" spans="1:10" ht="13.5" thickBot="1" x14ac:dyDescent="0.25">
      <c r="F243" s="20">
        <f>E242</f>
        <v>25.121920000000003</v>
      </c>
      <c r="I243" s="84"/>
      <c r="J243" s="84"/>
    </row>
    <row r="244" spans="1:10" ht="11.25" customHeight="1" x14ac:dyDescent="0.2">
      <c r="I244" s="84"/>
      <c r="J244" s="84"/>
    </row>
    <row r="245" spans="1:10" ht="11.25" customHeight="1" thickBot="1" x14ac:dyDescent="0.25">
      <c r="G245" s="8"/>
    </row>
    <row r="246" spans="1:10" ht="13.5" thickBot="1" x14ac:dyDescent="0.25">
      <c r="A246" s="23" t="s">
        <v>242</v>
      </c>
      <c r="B246" s="24"/>
      <c r="C246" s="24"/>
      <c r="D246" s="25"/>
      <c r="E246" s="26"/>
      <c r="F246" s="20">
        <f>+SUM(F175:F245)</f>
        <v>2379.2491381666664</v>
      </c>
      <c r="G246" s="8"/>
    </row>
    <row r="247" spans="1:10" ht="11.25" customHeight="1" x14ac:dyDescent="0.2">
      <c r="G247" s="8"/>
    </row>
    <row r="248" spans="1:10" x14ac:dyDescent="0.2">
      <c r="A248" s="33" t="s">
        <v>75</v>
      </c>
      <c r="B248" s="33"/>
      <c r="C248" s="33"/>
      <c r="D248" s="34"/>
      <c r="E248" s="34"/>
      <c r="F248" s="32"/>
      <c r="G248" s="8"/>
    </row>
    <row r="249" spans="1:10" ht="11.25" customHeight="1" thickBot="1" x14ac:dyDescent="0.25">
      <c r="G249" s="8"/>
    </row>
    <row r="250" spans="1:10" ht="13.5" thickBot="1" x14ac:dyDescent="0.25">
      <c r="A250" s="59" t="s">
        <v>64</v>
      </c>
      <c r="B250" s="60" t="s">
        <v>65</v>
      </c>
      <c r="C250" s="60" t="s">
        <v>40</v>
      </c>
      <c r="D250" s="61" t="s">
        <v>254</v>
      </c>
      <c r="E250" s="61" t="s">
        <v>66</v>
      </c>
      <c r="F250" s="62" t="s">
        <v>67</v>
      </c>
      <c r="G250" s="8"/>
    </row>
    <row r="251" spans="1:10" x14ac:dyDescent="0.2">
      <c r="A251" s="15" t="s">
        <v>72</v>
      </c>
      <c r="B251" s="16" t="s">
        <v>10</v>
      </c>
      <c r="C251" s="100"/>
      <c r="D251" s="86"/>
      <c r="E251" s="17">
        <f>C251*D251</f>
        <v>0</v>
      </c>
      <c r="F251" s="54"/>
      <c r="G251" s="8"/>
    </row>
    <row r="252" spans="1:10" x14ac:dyDescent="0.2">
      <c r="A252" s="15" t="s">
        <v>27</v>
      </c>
      <c r="B252" s="16" t="s">
        <v>10</v>
      </c>
      <c r="C252" s="100"/>
      <c r="D252" s="86"/>
      <c r="E252" s="17">
        <f>C252*D252</f>
        <v>0</v>
      </c>
      <c r="F252" s="54"/>
      <c r="G252" s="8"/>
    </row>
    <row r="253" spans="1:10" x14ac:dyDescent="0.2">
      <c r="A253" s="15" t="s">
        <v>28</v>
      </c>
      <c r="B253" s="16" t="s">
        <v>10</v>
      </c>
      <c r="C253" s="100">
        <v>0.16666666666666666</v>
      </c>
      <c r="D253" s="86">
        <v>100</v>
      </c>
      <c r="E253" s="17">
        <f>C253*D253</f>
        <v>16.666666666666664</v>
      </c>
      <c r="F253" s="54"/>
      <c r="G253" s="8"/>
    </row>
    <row r="254" spans="1:10" x14ac:dyDescent="0.2">
      <c r="A254" s="15" t="s">
        <v>57</v>
      </c>
      <c r="B254" s="16" t="s">
        <v>58</v>
      </c>
      <c r="C254" s="100">
        <v>8.3333333333333329E-2</v>
      </c>
      <c r="D254" s="86">
        <v>600</v>
      </c>
      <c r="E254" s="17">
        <f>C254*D254</f>
        <v>50</v>
      </c>
      <c r="F254" s="54"/>
      <c r="G254" s="8"/>
    </row>
    <row r="255" spans="1:10" ht="13.5" thickBot="1" x14ac:dyDescent="0.25">
      <c r="A255" s="15" t="s">
        <v>60</v>
      </c>
      <c r="B255" s="16" t="s">
        <v>58</v>
      </c>
      <c r="C255" s="100">
        <v>8.3333333333333329E-2</v>
      </c>
      <c r="D255" s="86">
        <v>550</v>
      </c>
      <c r="E255" s="17">
        <f>C255*D255</f>
        <v>45.833333333333329</v>
      </c>
      <c r="F255" s="54"/>
      <c r="G255" s="8"/>
    </row>
    <row r="256" spans="1:10" ht="13.5" thickBot="1" x14ac:dyDescent="0.25">
      <c r="A256" s="33"/>
      <c r="B256" s="33"/>
      <c r="C256" s="33"/>
      <c r="D256" s="33"/>
      <c r="E256" s="34"/>
      <c r="F256" s="20">
        <f>SUM(E251:E255)</f>
        <v>112.49999999999999</v>
      </c>
      <c r="G256" s="8"/>
    </row>
    <row r="257" spans="1:7" ht="11.25" customHeight="1" thickBot="1" x14ac:dyDescent="0.25">
      <c r="G257" s="8"/>
    </row>
    <row r="258" spans="1:7" ht="13.5" thickBot="1" x14ac:dyDescent="0.25">
      <c r="A258" s="23" t="s">
        <v>243</v>
      </c>
      <c r="B258" s="24"/>
      <c r="C258" s="24"/>
      <c r="D258" s="25"/>
      <c r="E258" s="26"/>
      <c r="F258" s="20">
        <f>+F256</f>
        <v>112.49999999999999</v>
      </c>
      <c r="G258" s="8"/>
    </row>
    <row r="259" spans="1:7" ht="11.25" customHeight="1" x14ac:dyDescent="0.2">
      <c r="G259" s="8"/>
    </row>
    <row r="260" spans="1:7" x14ac:dyDescent="0.2">
      <c r="A260" s="33" t="s">
        <v>76</v>
      </c>
      <c r="B260" s="33"/>
      <c r="C260" s="33"/>
      <c r="D260" s="34"/>
      <c r="E260" s="34"/>
      <c r="F260" s="32"/>
    </row>
    <row r="261" spans="1:7" ht="11.25" customHeight="1" thickBot="1" x14ac:dyDescent="0.25"/>
    <row r="262" spans="1:7" ht="13.5" thickBot="1" x14ac:dyDescent="0.25">
      <c r="A262" s="59" t="s">
        <v>64</v>
      </c>
      <c r="B262" s="60" t="s">
        <v>65</v>
      </c>
      <c r="C262" s="60" t="s">
        <v>40</v>
      </c>
      <c r="D262" s="61" t="s">
        <v>254</v>
      </c>
      <c r="E262" s="61" t="s">
        <v>66</v>
      </c>
      <c r="F262" s="62" t="s">
        <v>67</v>
      </c>
    </row>
    <row r="263" spans="1:7" x14ac:dyDescent="0.2">
      <c r="A263" s="15" t="s">
        <v>240</v>
      </c>
      <c r="B263" s="52" t="s">
        <v>58</v>
      </c>
      <c r="C263" s="68">
        <f>C175</f>
        <v>1</v>
      </c>
      <c r="D263" s="88">
        <v>200</v>
      </c>
      <c r="E263" s="17">
        <f>+D263*C263</f>
        <v>200</v>
      </c>
      <c r="F263" s="54"/>
    </row>
    <row r="264" spans="1:7" x14ac:dyDescent="0.2">
      <c r="A264" s="15" t="s">
        <v>61</v>
      </c>
      <c r="B264" s="52" t="s">
        <v>8</v>
      </c>
      <c r="C264" s="152">
        <v>60</v>
      </c>
      <c r="D264" s="79">
        <f>SUM(E263:E263)</f>
        <v>200</v>
      </c>
      <c r="E264" s="79">
        <f>+D264/C264</f>
        <v>3.3333333333333335</v>
      </c>
      <c r="F264" s="54"/>
    </row>
    <row r="265" spans="1:7" x14ac:dyDescent="0.2">
      <c r="A265" s="15" t="s">
        <v>241</v>
      </c>
      <c r="B265" s="16" t="s">
        <v>10</v>
      </c>
      <c r="C265" s="68">
        <f>+C263</f>
        <v>1</v>
      </c>
      <c r="D265" s="88">
        <v>80</v>
      </c>
      <c r="E265" s="17">
        <f>C265*D265</f>
        <v>80</v>
      </c>
      <c r="F265" s="54"/>
    </row>
    <row r="266" spans="1:7" ht="13.5" thickBot="1" x14ac:dyDescent="0.25">
      <c r="A266" s="15" t="s">
        <v>37</v>
      </c>
      <c r="B266" s="52" t="s">
        <v>8</v>
      </c>
      <c r="C266" s="152">
        <v>1</v>
      </c>
      <c r="D266" s="79">
        <f>+E265</f>
        <v>80</v>
      </c>
      <c r="E266" s="79">
        <f>+D266/C266</f>
        <v>80</v>
      </c>
      <c r="F266" s="54"/>
    </row>
    <row r="267" spans="1:7" ht="13.5" thickBot="1" x14ac:dyDescent="0.25">
      <c r="A267" s="80"/>
      <c r="B267" s="80"/>
      <c r="C267" s="80"/>
      <c r="D267" s="122" t="s">
        <v>207</v>
      </c>
      <c r="E267" s="49">
        <f>$B$41</f>
        <v>1</v>
      </c>
      <c r="F267" s="81">
        <f>(E264+E266)*E267</f>
        <v>83.333333333333329</v>
      </c>
    </row>
    <row r="268" spans="1:7" s="50" customFormat="1" ht="11.25" customHeight="1" thickBot="1" x14ac:dyDescent="0.25">
      <c r="A268" s="8"/>
      <c r="B268" s="8"/>
      <c r="C268" s="8"/>
      <c r="D268" s="9"/>
      <c r="E268" s="9"/>
      <c r="F268" s="9"/>
      <c r="G268" s="83"/>
    </row>
    <row r="269" spans="1:7" ht="13.5" thickBot="1" x14ac:dyDescent="0.25">
      <c r="A269" s="23" t="s">
        <v>239</v>
      </c>
      <c r="B269" s="24"/>
      <c r="C269" s="24"/>
      <c r="D269" s="25"/>
      <c r="E269" s="26"/>
      <c r="F269" s="20">
        <f>+F267</f>
        <v>83.333333333333329</v>
      </c>
    </row>
    <row r="270" spans="1:7" ht="11.25" customHeight="1" thickBot="1" x14ac:dyDescent="0.25"/>
    <row r="271" spans="1:7" ht="17.25" customHeight="1" thickBot="1" x14ac:dyDescent="0.25">
      <c r="A271" s="23" t="s">
        <v>244</v>
      </c>
      <c r="B271" s="27"/>
      <c r="C271" s="27"/>
      <c r="D271" s="28"/>
      <c r="E271" s="29"/>
      <c r="F271" s="21">
        <f>+F133+F167+F246+F258+F269</f>
        <v>14141.102429166665</v>
      </c>
    </row>
    <row r="272" spans="1:7" ht="11.25" customHeight="1" x14ac:dyDescent="0.2"/>
    <row r="273" spans="1:7" x14ac:dyDescent="0.2">
      <c r="A273" s="10" t="s">
        <v>91</v>
      </c>
    </row>
    <row r="274" spans="1:7" ht="11.25" customHeight="1" thickBot="1" x14ac:dyDescent="0.25"/>
    <row r="275" spans="1:7" ht="13.5" thickBot="1" x14ac:dyDescent="0.25">
      <c r="A275" s="59" t="s">
        <v>64</v>
      </c>
      <c r="B275" s="60" t="s">
        <v>65</v>
      </c>
      <c r="C275" s="60" t="s">
        <v>40</v>
      </c>
      <c r="D275" s="61" t="s">
        <v>254</v>
      </c>
      <c r="E275" s="61" t="s">
        <v>66</v>
      </c>
      <c r="F275" s="62" t="s">
        <v>67</v>
      </c>
    </row>
    <row r="276" spans="1:7" ht="13.5" thickBot="1" x14ac:dyDescent="0.25">
      <c r="A276" s="12" t="s">
        <v>36</v>
      </c>
      <c r="B276" s="13" t="s">
        <v>2</v>
      </c>
      <c r="C276" s="138">
        <v>19.02</v>
      </c>
      <c r="D276" s="14">
        <f>+F271</f>
        <v>14141.102429166665</v>
      </c>
      <c r="E276" s="14">
        <f>C276*D276/100</f>
        <v>2689.6376820274995</v>
      </c>
    </row>
    <row r="277" spans="1:7" ht="13.5" thickBot="1" x14ac:dyDescent="0.25">
      <c r="F277" s="20">
        <f>+E276</f>
        <v>2689.6376820274995</v>
      </c>
    </row>
    <row r="278" spans="1:7" ht="11.25" customHeight="1" thickBot="1" x14ac:dyDescent="0.25"/>
    <row r="279" spans="1:7" ht="13.5" thickBot="1" x14ac:dyDescent="0.25">
      <c r="A279" s="23" t="s">
        <v>259</v>
      </c>
      <c r="B279" s="27"/>
      <c r="C279" s="27"/>
      <c r="D279" s="28"/>
      <c r="E279" s="29"/>
      <c r="F279" s="21">
        <f>F277</f>
        <v>2689.6376820274995</v>
      </c>
    </row>
    <row r="280" spans="1:7" x14ac:dyDescent="0.2">
      <c r="A280" s="33"/>
      <c r="B280" s="33"/>
      <c r="C280" s="33"/>
      <c r="D280" s="34"/>
      <c r="E280" s="34"/>
      <c r="F280" s="32"/>
    </row>
    <row r="281" spans="1:7" ht="11.25" customHeight="1" thickBot="1" x14ac:dyDescent="0.25"/>
    <row r="282" spans="1:7" ht="24.75" customHeight="1" thickBot="1" x14ac:dyDescent="0.25">
      <c r="A282" s="23" t="s">
        <v>245</v>
      </c>
      <c r="B282" s="27"/>
      <c r="C282" s="27"/>
      <c r="D282" s="28"/>
      <c r="E282" s="29"/>
      <c r="F282" s="21">
        <f>F271+F279</f>
        <v>16830.740111194165</v>
      </c>
    </row>
    <row r="283" spans="1:7" ht="12.6" customHeight="1" x14ac:dyDescent="0.2">
      <c r="A283" s="55"/>
      <c r="B283" s="55"/>
      <c r="C283" s="55"/>
      <c r="D283" s="56"/>
      <c r="E283" s="56"/>
      <c r="F283" s="56"/>
    </row>
    <row r="284" spans="1:7" ht="14.25" x14ac:dyDescent="0.2">
      <c r="A284" s="7"/>
      <c r="B284" s="7"/>
      <c r="C284" s="7"/>
      <c r="D284" s="35"/>
      <c r="E284" s="35"/>
    </row>
    <row r="285" spans="1:7" s="4" customFormat="1" ht="9.75" customHeight="1" x14ac:dyDescent="0.2">
      <c r="A285" s="38"/>
      <c r="B285" s="9"/>
      <c r="C285" s="9"/>
      <c r="D285" s="9"/>
      <c r="E285" s="9"/>
      <c r="F285" s="9"/>
      <c r="G285" s="5"/>
    </row>
    <row r="286" spans="1:7" s="4" customFormat="1" ht="9.75" customHeight="1" x14ac:dyDescent="0.2">
      <c r="A286" s="38"/>
      <c r="B286" s="9"/>
      <c r="C286" s="9"/>
      <c r="D286" s="9"/>
      <c r="E286" s="9"/>
      <c r="F286" s="9"/>
      <c r="G286" s="5"/>
    </row>
    <row r="287" spans="1:7" s="4" customFormat="1" ht="9.75" customHeight="1" x14ac:dyDescent="0.2">
      <c r="A287" s="38"/>
      <c r="B287" s="9"/>
      <c r="C287" s="9"/>
      <c r="D287" s="9"/>
      <c r="E287" s="9"/>
      <c r="F287" s="9"/>
      <c r="G287" s="5"/>
    </row>
    <row r="317" spans="4:7" ht="9" customHeight="1" x14ac:dyDescent="0.2">
      <c r="D317" s="8"/>
      <c r="E317" s="8"/>
      <c r="F317" s="8"/>
      <c r="G317" s="8"/>
    </row>
  </sheetData>
  <mergeCells count="7">
    <mergeCell ref="A37:D37"/>
    <mergeCell ref="A14:C14"/>
    <mergeCell ref="A1:F1"/>
    <mergeCell ref="A2:F2"/>
    <mergeCell ref="A30:D30"/>
    <mergeCell ref="A4:F4"/>
    <mergeCell ref="A29:E29"/>
  </mergeCells>
  <phoneticPr fontId="9" type="noConversion"/>
  <hyperlinks>
    <hyperlink ref="A189" location="AbaRemun" display="3.1.2. Remuneração do Capital"/>
    <hyperlink ref="A17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5" verticalDpi="4294967295" r:id="rId1"/>
  <headerFooter alignWithMargins="0">
    <oddFooter>&amp;R&amp;P de &amp;N</oddFooter>
  </headerFooter>
  <rowBreaks count="4" manualBreakCount="4">
    <brk id="42" max="5" man="1"/>
    <brk id="112" max="5" man="1"/>
    <brk id="168" max="5" man="1"/>
    <brk id="23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D8" sqref="D8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5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0" t="s">
        <v>215</v>
      </c>
    </row>
    <row r="2" spans="1:12" x14ac:dyDescent="0.2">
      <c r="A2" s="137" t="s">
        <v>266</v>
      </c>
    </row>
    <row r="3" spans="1:12" ht="13.5" thickBot="1" x14ac:dyDescent="0.25"/>
    <row r="4" spans="1:12" ht="18" x14ac:dyDescent="0.2">
      <c r="A4" s="318" t="s">
        <v>248</v>
      </c>
      <c r="B4" s="319"/>
      <c r="C4" s="320"/>
      <c r="D4" s="147"/>
      <c r="E4" s="147"/>
      <c r="F4" s="147"/>
    </row>
    <row r="5" spans="1:12" ht="14.25" x14ac:dyDescent="0.2">
      <c r="A5" s="168" t="s">
        <v>152</v>
      </c>
      <c r="B5" s="169" t="s">
        <v>153</v>
      </c>
      <c r="C5" s="170" t="s">
        <v>154</v>
      </c>
      <c r="D5" s="171"/>
    </row>
    <row r="6" spans="1:12" ht="14.25" x14ac:dyDescent="0.2">
      <c r="A6" s="168" t="s">
        <v>155</v>
      </c>
      <c r="B6" s="169" t="s">
        <v>41</v>
      </c>
      <c r="C6" s="172">
        <v>0.2</v>
      </c>
      <c r="D6" s="171"/>
      <c r="F6" s="155"/>
      <c r="G6" s="155"/>
      <c r="H6" s="155"/>
      <c r="I6" s="155"/>
      <c r="J6" s="155"/>
      <c r="K6" s="155"/>
      <c r="L6" s="155"/>
    </row>
    <row r="7" spans="1:12" ht="14.25" x14ac:dyDescent="0.2">
      <c r="A7" s="168" t="s">
        <v>156</v>
      </c>
      <c r="B7" s="169" t="s">
        <v>157</v>
      </c>
      <c r="C7" s="172">
        <v>1.4999999999999999E-2</v>
      </c>
      <c r="D7" s="171"/>
      <c r="F7" s="155"/>
      <c r="G7" s="155"/>
      <c r="H7" s="155"/>
      <c r="I7" s="155"/>
      <c r="J7" s="155"/>
      <c r="K7" s="155"/>
      <c r="L7" s="155"/>
    </row>
    <row r="8" spans="1:12" ht="14.25" x14ac:dyDescent="0.2">
      <c r="A8" s="168" t="s">
        <v>158</v>
      </c>
      <c r="B8" s="169" t="s">
        <v>159</v>
      </c>
      <c r="C8" s="172">
        <v>0.01</v>
      </c>
      <c r="D8" s="171"/>
      <c r="F8" s="155"/>
      <c r="G8" s="155"/>
      <c r="H8" s="155"/>
      <c r="I8" s="155"/>
      <c r="J8" s="155"/>
      <c r="K8" s="155"/>
      <c r="L8" s="155"/>
    </row>
    <row r="9" spans="1:12" ht="14.25" x14ac:dyDescent="0.2">
      <c r="A9" s="168" t="s">
        <v>160</v>
      </c>
      <c r="B9" s="169" t="s">
        <v>161</v>
      </c>
      <c r="C9" s="172">
        <v>2E-3</v>
      </c>
      <c r="D9" s="171"/>
      <c r="F9" s="155"/>
      <c r="G9" s="155"/>
      <c r="H9" s="155"/>
      <c r="I9" s="155"/>
      <c r="J9" s="155"/>
      <c r="K9" s="155"/>
      <c r="L9" s="155"/>
    </row>
    <row r="10" spans="1:12" ht="14.25" x14ac:dyDescent="0.2">
      <c r="A10" s="168" t="s">
        <v>162</v>
      </c>
      <c r="B10" s="169" t="s">
        <v>163</v>
      </c>
      <c r="C10" s="172">
        <v>6.0000000000000001E-3</v>
      </c>
      <c r="D10" s="171"/>
      <c r="F10" s="155"/>
      <c r="G10" s="155"/>
      <c r="H10" s="155"/>
      <c r="I10" s="155"/>
      <c r="J10" s="155"/>
      <c r="K10" s="155"/>
      <c r="L10" s="155"/>
    </row>
    <row r="11" spans="1:12" ht="14.25" x14ac:dyDescent="0.2">
      <c r="A11" s="168" t="s">
        <v>164</v>
      </c>
      <c r="B11" s="169" t="s">
        <v>165</v>
      </c>
      <c r="C11" s="172">
        <v>2.5000000000000001E-2</v>
      </c>
      <c r="D11" s="171"/>
      <c r="F11" s="155"/>
      <c r="G11" s="155"/>
      <c r="H11" s="155"/>
      <c r="I11" s="155"/>
      <c r="J11" s="155"/>
      <c r="K11" s="155"/>
      <c r="L11" s="155"/>
    </row>
    <row r="12" spans="1:12" ht="14.25" x14ac:dyDescent="0.2">
      <c r="A12" s="168" t="s">
        <v>166</v>
      </c>
      <c r="B12" s="169" t="s">
        <v>167</v>
      </c>
      <c r="C12" s="172">
        <v>0.03</v>
      </c>
      <c r="D12" s="171"/>
      <c r="F12" s="155"/>
      <c r="G12" s="155"/>
      <c r="H12" s="155"/>
      <c r="I12" s="155"/>
      <c r="J12" s="155"/>
      <c r="K12" s="155"/>
      <c r="L12" s="155"/>
    </row>
    <row r="13" spans="1:12" ht="14.25" x14ac:dyDescent="0.2">
      <c r="A13" s="168" t="s">
        <v>168</v>
      </c>
      <c r="B13" s="169" t="s">
        <v>42</v>
      </c>
      <c r="C13" s="172">
        <v>0.08</v>
      </c>
      <c r="D13" s="173"/>
      <c r="F13" s="155"/>
      <c r="G13" s="155"/>
      <c r="H13" s="155"/>
      <c r="I13" s="155"/>
      <c r="J13" s="155"/>
      <c r="K13" s="155"/>
      <c r="L13" s="155"/>
    </row>
    <row r="14" spans="1:12" ht="15" x14ac:dyDescent="0.2">
      <c r="A14" s="168" t="s">
        <v>169</v>
      </c>
      <c r="B14" s="174" t="s">
        <v>170</v>
      </c>
      <c r="C14" s="175">
        <f>SUM(C6:C13)</f>
        <v>0.36800000000000005</v>
      </c>
      <c r="D14" s="173"/>
      <c r="F14" s="155"/>
      <c r="G14" s="155"/>
      <c r="H14" s="155"/>
      <c r="I14" s="155"/>
      <c r="J14" s="155"/>
      <c r="K14" s="155"/>
      <c r="L14" s="155"/>
    </row>
    <row r="15" spans="1:12" ht="15" x14ac:dyDescent="0.2">
      <c r="A15" s="176"/>
      <c r="B15" s="177"/>
      <c r="C15" s="178"/>
      <c r="D15" s="173"/>
      <c r="F15" s="155"/>
      <c r="G15" s="155"/>
      <c r="H15" s="155"/>
      <c r="I15" s="155"/>
      <c r="J15" s="155"/>
      <c r="K15" s="155"/>
      <c r="L15" s="155"/>
    </row>
    <row r="16" spans="1:12" ht="14.25" x14ac:dyDescent="0.2">
      <c r="A16" s="168" t="s">
        <v>171</v>
      </c>
      <c r="B16" s="179" t="s">
        <v>172</v>
      </c>
      <c r="C16" s="172">
        <f>ROUND(IF('3.CAGED'!C39&gt;24,(1-12/'3.CAGED'!C39)*0.1111,0.1111-C25),4)</f>
        <v>5.74E-2</v>
      </c>
      <c r="D16" s="173"/>
      <c r="F16" s="155"/>
      <c r="G16" s="155"/>
      <c r="H16" s="155"/>
      <c r="I16" s="155"/>
      <c r="J16" s="155"/>
      <c r="K16" s="155"/>
      <c r="L16" s="155"/>
    </row>
    <row r="17" spans="1:12" ht="14.25" x14ac:dyDescent="0.2">
      <c r="A17" s="168" t="s">
        <v>173</v>
      </c>
      <c r="B17" s="179" t="s">
        <v>174</v>
      </c>
      <c r="C17" s="172">
        <f>ROUND('3.CAGED'!C33/'3.CAGED'!C30,4)</f>
        <v>8.3299999999999999E-2</v>
      </c>
      <c r="D17" s="173"/>
      <c r="F17" s="155"/>
      <c r="G17" s="155"/>
      <c r="H17" s="155"/>
      <c r="I17" s="155"/>
      <c r="J17" s="155"/>
      <c r="K17" s="155"/>
      <c r="L17" s="155"/>
    </row>
    <row r="18" spans="1:12" ht="14.25" x14ac:dyDescent="0.2">
      <c r="A18" s="168" t="s">
        <v>238</v>
      </c>
      <c r="B18" s="179" t="s">
        <v>176</v>
      </c>
      <c r="C18" s="172">
        <v>5.9999999999999995E-4</v>
      </c>
      <c r="D18" s="173"/>
      <c r="F18" s="155"/>
      <c r="G18" s="155"/>
      <c r="H18" s="155"/>
      <c r="I18" s="155"/>
      <c r="J18" s="155"/>
      <c r="K18" s="155"/>
      <c r="L18" s="155"/>
    </row>
    <row r="19" spans="1:12" ht="14.25" x14ac:dyDescent="0.2">
      <c r="A19" s="168" t="s">
        <v>175</v>
      </c>
      <c r="B19" s="179" t="s">
        <v>178</v>
      </c>
      <c r="C19" s="172">
        <v>8.2000000000000007E-3</v>
      </c>
      <c r="D19" s="173"/>
      <c r="F19" s="155"/>
      <c r="G19" s="155"/>
      <c r="H19" s="155"/>
      <c r="I19" s="155"/>
      <c r="J19" s="155"/>
      <c r="K19" s="155"/>
      <c r="L19" s="155"/>
    </row>
    <row r="20" spans="1:12" ht="14.25" x14ac:dyDescent="0.2">
      <c r="A20" s="168" t="s">
        <v>177</v>
      </c>
      <c r="B20" s="179" t="s">
        <v>180</v>
      </c>
      <c r="C20" s="172">
        <v>3.0999999999999999E-3</v>
      </c>
      <c r="D20" s="173"/>
      <c r="F20" s="155"/>
      <c r="G20" s="155"/>
      <c r="H20" s="155"/>
      <c r="I20" s="155"/>
      <c r="J20" s="155"/>
      <c r="K20" s="155"/>
      <c r="L20" s="155"/>
    </row>
    <row r="21" spans="1:12" ht="14.25" x14ac:dyDescent="0.2">
      <c r="A21" s="168" t="s">
        <v>179</v>
      </c>
      <c r="B21" s="179" t="s">
        <v>181</v>
      </c>
      <c r="C21" s="172">
        <v>1.66E-2</v>
      </c>
      <c r="D21" s="173"/>
      <c r="F21" s="155"/>
      <c r="G21" s="155"/>
      <c r="H21" s="155"/>
      <c r="I21" s="155"/>
      <c r="J21" s="155"/>
      <c r="K21" s="155"/>
      <c r="L21" s="155"/>
    </row>
    <row r="22" spans="1:12" ht="15" x14ac:dyDescent="0.2">
      <c r="A22" s="168" t="s">
        <v>182</v>
      </c>
      <c r="B22" s="174" t="s">
        <v>183</v>
      </c>
      <c r="C22" s="175">
        <f>SUM(C16:C21)</f>
        <v>0.16919999999999999</v>
      </c>
      <c r="D22" s="180"/>
      <c r="F22" s="155"/>
      <c r="G22" s="155"/>
      <c r="H22" s="155"/>
      <c r="I22" s="155"/>
      <c r="J22" s="155"/>
      <c r="K22" s="155"/>
      <c r="L22" s="155"/>
    </row>
    <row r="23" spans="1:12" ht="15" x14ac:dyDescent="0.2">
      <c r="A23" s="176"/>
      <c r="B23" s="177"/>
      <c r="C23" s="178"/>
      <c r="D23" s="180"/>
      <c r="F23" s="155"/>
      <c r="G23" s="155"/>
      <c r="H23" s="155"/>
      <c r="I23" s="155"/>
      <c r="J23" s="155"/>
      <c r="K23" s="155"/>
      <c r="L23" s="155"/>
    </row>
    <row r="24" spans="1:12" ht="14.25" x14ac:dyDescent="0.2">
      <c r="A24" s="168" t="s">
        <v>184</v>
      </c>
      <c r="B24" s="169" t="s">
        <v>185</v>
      </c>
      <c r="C24" s="172">
        <f>ROUND(('3.CAGED'!C38) *'3.CAGED'!C29/'3.CAGED'!C30,4)</f>
        <v>3.9E-2</v>
      </c>
      <c r="D24" s="173"/>
      <c r="E24" s="181"/>
      <c r="F24" s="155"/>
      <c r="G24" s="155"/>
      <c r="H24" s="155"/>
      <c r="I24" s="155"/>
      <c r="J24" s="155"/>
      <c r="K24" s="155"/>
      <c r="L24" s="155"/>
    </row>
    <row r="25" spans="1:12" ht="14.25" x14ac:dyDescent="0.2">
      <c r="A25" s="168" t="s">
        <v>237</v>
      </c>
      <c r="B25" s="169" t="s">
        <v>187</v>
      </c>
      <c r="C25" s="172">
        <f>ROUND(IF('3.CAGED'!C39&gt;12,12/'3.CAGED'!C39*0.1111,0.1111),4)</f>
        <v>5.3699999999999998E-2</v>
      </c>
      <c r="D25" s="173"/>
      <c r="F25" s="155"/>
      <c r="G25" s="155"/>
      <c r="H25" s="182"/>
      <c r="I25" s="155"/>
      <c r="J25" s="155"/>
      <c r="K25" s="155"/>
      <c r="L25" s="155"/>
    </row>
    <row r="26" spans="1:12" ht="14.25" x14ac:dyDescent="0.2">
      <c r="A26" s="168" t="s">
        <v>186</v>
      </c>
      <c r="B26" s="169" t="s">
        <v>189</v>
      </c>
      <c r="C26" s="172">
        <f>ROUND(('3.CAGED'!C32+'3.CAGED'!C31)/360*C24,4)</f>
        <v>4.3E-3</v>
      </c>
      <c r="D26" s="173"/>
      <c r="F26" s="155"/>
      <c r="G26" s="155"/>
      <c r="H26" s="155"/>
      <c r="I26" s="155"/>
      <c r="J26" s="155"/>
      <c r="K26" s="155"/>
      <c r="L26" s="155"/>
    </row>
    <row r="27" spans="1:12" ht="14.25" x14ac:dyDescent="0.2">
      <c r="A27" s="168" t="s">
        <v>188</v>
      </c>
      <c r="B27" s="169" t="s">
        <v>191</v>
      </c>
      <c r="C27" s="172">
        <f>ROUND(('3.CAGED'!C30+'3.CAGED'!C31+'3.CAGED'!C33)/'3.CAGED'!C28*'3.CAGED'!C35*'3.CAGED'!C36*'3.CAGED'!C29/'3.CAGED'!C30,4)</f>
        <v>3.5900000000000001E-2</v>
      </c>
      <c r="D27" s="173"/>
      <c r="F27" s="155"/>
      <c r="G27" s="183"/>
      <c r="H27" s="155"/>
      <c r="I27" s="155"/>
      <c r="J27" s="155"/>
      <c r="K27" s="155"/>
      <c r="L27" s="155"/>
    </row>
    <row r="28" spans="1:12" ht="14.25" x14ac:dyDescent="0.2">
      <c r="A28" s="168" t="s">
        <v>190</v>
      </c>
      <c r="B28" s="169" t="s">
        <v>192</v>
      </c>
      <c r="C28" s="172">
        <f>ROUND(('3.CAGED'!C32/'3.CAGED'!C30)*'3.CAGED'!C29/12,4)</f>
        <v>2.7000000000000001E-3</v>
      </c>
      <c r="D28" s="173"/>
      <c r="F28" s="155"/>
      <c r="G28" s="155"/>
      <c r="H28" s="155"/>
      <c r="I28" s="155"/>
      <c r="J28" s="155"/>
      <c r="K28" s="155"/>
      <c r="L28" s="155"/>
    </row>
    <row r="29" spans="1:12" ht="15" x14ac:dyDescent="0.2">
      <c r="A29" s="168" t="s">
        <v>193</v>
      </c>
      <c r="B29" s="174" t="s">
        <v>194</v>
      </c>
      <c r="C29" s="175">
        <f>SUM(C24:C28)</f>
        <v>0.13560000000000003</v>
      </c>
      <c r="D29" s="180"/>
      <c r="F29" s="155"/>
      <c r="G29" s="155"/>
      <c r="H29" s="155"/>
      <c r="I29" s="155"/>
      <c r="J29" s="155"/>
      <c r="K29" s="155"/>
      <c r="L29" s="155"/>
    </row>
    <row r="30" spans="1:12" ht="15" x14ac:dyDescent="0.2">
      <c r="A30" s="176"/>
      <c r="B30" s="177"/>
      <c r="C30" s="178"/>
      <c r="D30" s="180"/>
      <c r="F30" s="155"/>
      <c r="G30" s="155"/>
      <c r="H30" s="155"/>
      <c r="I30" s="155"/>
      <c r="J30" s="155"/>
      <c r="K30" s="155"/>
      <c r="L30" s="155"/>
    </row>
    <row r="31" spans="1:12" ht="14.25" x14ac:dyDescent="0.2">
      <c r="A31" s="168" t="s">
        <v>195</v>
      </c>
      <c r="B31" s="169" t="s">
        <v>196</v>
      </c>
      <c r="C31" s="172">
        <f>ROUND(C14*C22,4)</f>
        <v>6.2300000000000001E-2</v>
      </c>
      <c r="D31" s="173"/>
      <c r="F31" s="155"/>
      <c r="G31" s="155"/>
      <c r="H31" s="155"/>
      <c r="I31" s="155"/>
      <c r="J31" s="155"/>
      <c r="K31" s="155"/>
      <c r="L31" s="155"/>
    </row>
    <row r="32" spans="1:12" ht="28.5" x14ac:dyDescent="0.2">
      <c r="A32" s="168" t="s">
        <v>197</v>
      </c>
      <c r="B32" s="184" t="s">
        <v>198</v>
      </c>
      <c r="C32" s="172">
        <f>ROUND((C24*C14),4)</f>
        <v>1.44E-2</v>
      </c>
      <c r="D32" s="173"/>
      <c r="F32" s="155"/>
      <c r="G32" s="155"/>
      <c r="H32" s="155"/>
      <c r="I32" s="155"/>
      <c r="J32" s="155"/>
      <c r="K32" s="155"/>
      <c r="L32" s="155"/>
    </row>
    <row r="33" spans="1:12" ht="15" x14ac:dyDescent="0.2">
      <c r="A33" s="168" t="s">
        <v>199</v>
      </c>
      <c r="B33" s="174" t="s">
        <v>200</v>
      </c>
      <c r="C33" s="175">
        <f>SUM(C31:C32)</f>
        <v>7.6700000000000004E-2</v>
      </c>
      <c r="D33" s="185"/>
      <c r="F33" s="155"/>
      <c r="G33" s="155"/>
      <c r="H33" s="155"/>
      <c r="I33" s="155"/>
      <c r="J33" s="155"/>
      <c r="K33" s="155"/>
      <c r="L33" s="155"/>
    </row>
    <row r="34" spans="1:12" ht="15.75" thickBot="1" x14ac:dyDescent="0.25">
      <c r="A34" s="186"/>
      <c r="B34" s="187" t="s">
        <v>201</v>
      </c>
      <c r="C34" s="188">
        <f>C33+C29+C22+C14</f>
        <v>0.74950000000000006</v>
      </c>
      <c r="D34" s="185"/>
      <c r="F34" s="155"/>
      <c r="G34" s="155"/>
      <c r="H34" s="155"/>
      <c r="I34" s="155"/>
      <c r="J34" s="155"/>
      <c r="K34" s="155"/>
      <c r="L34" s="155"/>
    </row>
    <row r="35" spans="1:12" ht="15" x14ac:dyDescent="0.2">
      <c r="A35" s="173"/>
      <c r="B35" s="189"/>
      <c r="C35" s="190"/>
      <c r="D35" s="191"/>
      <c r="F35" s="155"/>
      <c r="G35" s="155"/>
      <c r="H35" s="155"/>
      <c r="I35" s="155"/>
      <c r="J35" s="155"/>
      <c r="K35" s="155"/>
      <c r="L35" s="155"/>
    </row>
    <row r="36" spans="1:12" ht="14.25" x14ac:dyDescent="0.2">
      <c r="A36" s="173"/>
      <c r="B36" s="173"/>
      <c r="C36" s="192"/>
      <c r="D36" s="193"/>
      <c r="F36" s="155"/>
      <c r="G36" s="155"/>
      <c r="H36" s="155"/>
      <c r="I36" s="155"/>
      <c r="J36" s="155"/>
      <c r="K36" s="155"/>
      <c r="L36" s="155"/>
    </row>
    <row r="37" spans="1:12" ht="14.25" x14ac:dyDescent="0.2">
      <c r="A37" s="171"/>
      <c r="B37" s="171"/>
      <c r="C37" s="194"/>
      <c r="D37" s="171"/>
      <c r="F37" s="155"/>
      <c r="G37" s="155"/>
      <c r="H37" s="155"/>
      <c r="I37" s="155"/>
      <c r="J37" s="155"/>
      <c r="K37" s="155"/>
      <c r="L37" s="155"/>
    </row>
    <row r="38" spans="1:12" ht="14.25" x14ac:dyDescent="0.2">
      <c r="A38" s="171"/>
      <c r="B38" s="171"/>
      <c r="C38" s="194"/>
      <c r="D38" s="171"/>
      <c r="F38" s="155"/>
      <c r="G38" s="155"/>
      <c r="H38" s="155"/>
      <c r="I38" s="155"/>
      <c r="J38" s="155"/>
      <c r="K38" s="155"/>
      <c r="L38" s="155"/>
    </row>
    <row r="39" spans="1:12" ht="14.25" x14ac:dyDescent="0.2">
      <c r="A39" s="171"/>
      <c r="B39" s="171"/>
      <c r="C39" s="194"/>
      <c r="D39" s="171"/>
      <c r="F39" s="155"/>
      <c r="G39" s="155"/>
      <c r="H39" s="155"/>
      <c r="I39" s="155"/>
      <c r="J39" s="155"/>
      <c r="K39" s="155"/>
      <c r="L39" s="155"/>
    </row>
    <row r="40" spans="1:12" ht="15" x14ac:dyDescent="0.2">
      <c r="A40" s="171"/>
      <c r="B40" s="195"/>
      <c r="C40" s="196"/>
      <c r="D40" s="171"/>
      <c r="F40" s="155"/>
      <c r="G40" s="155"/>
      <c r="H40" s="155"/>
      <c r="I40" s="155"/>
      <c r="J40" s="155"/>
      <c r="K40" s="155"/>
      <c r="L40" s="155"/>
    </row>
    <row r="41" spans="1:12" ht="15" x14ac:dyDescent="0.2">
      <c r="A41" s="185"/>
      <c r="B41" s="195"/>
      <c r="C41" s="196"/>
      <c r="D41" s="185"/>
      <c r="E41" s="155"/>
      <c r="F41" s="155"/>
      <c r="G41" s="155"/>
      <c r="H41" s="155"/>
      <c r="I41" s="155"/>
      <c r="J41" s="155"/>
      <c r="K41" s="155"/>
      <c r="L41" s="155"/>
    </row>
    <row r="42" spans="1:12" ht="16.5" x14ac:dyDescent="0.2">
      <c r="A42" s="197"/>
      <c r="B42" s="155"/>
      <c r="C42" s="155"/>
      <c r="E42" s="155"/>
      <c r="F42" s="155"/>
      <c r="G42" s="155"/>
      <c r="H42" s="155"/>
      <c r="I42" s="155"/>
      <c r="J42" s="155"/>
      <c r="K42" s="155"/>
      <c r="L42" s="155"/>
    </row>
    <row r="43" spans="1:12" x14ac:dyDescent="0.2">
      <c r="A43" s="198"/>
      <c r="B43" s="199"/>
      <c r="C43" s="199"/>
      <c r="E43" s="155"/>
      <c r="F43" s="155"/>
      <c r="G43" s="155"/>
      <c r="H43" s="155"/>
      <c r="I43" s="155"/>
      <c r="J43" s="155"/>
      <c r="K43" s="155"/>
      <c r="L43" s="155"/>
    </row>
    <row r="44" spans="1:12" ht="14.25" x14ac:dyDescent="0.2">
      <c r="A44" s="171"/>
      <c r="B44" s="200"/>
      <c r="C44" s="199"/>
      <c r="E44" s="155"/>
      <c r="F44" s="155"/>
      <c r="G44" s="155"/>
      <c r="H44" s="155"/>
      <c r="I44" s="155"/>
      <c r="J44" s="155"/>
      <c r="K44" s="155"/>
      <c r="L44" s="155"/>
    </row>
    <row r="45" spans="1:12" ht="14.25" x14ac:dyDescent="0.2">
      <c r="A45" s="171"/>
      <c r="B45" s="200"/>
      <c r="C45" s="171"/>
      <c r="E45" s="155"/>
      <c r="F45" s="155"/>
      <c r="G45" s="155"/>
      <c r="H45" s="155"/>
      <c r="I45" s="155"/>
      <c r="J45" s="155"/>
      <c r="K45" s="155"/>
      <c r="L45" s="155"/>
    </row>
    <row r="46" spans="1:12" ht="14.25" x14ac:dyDescent="0.2">
      <c r="A46" s="171"/>
      <c r="B46" s="194"/>
      <c r="C46" s="199"/>
      <c r="E46" s="155"/>
      <c r="F46" s="155"/>
      <c r="G46" s="155"/>
      <c r="H46" s="155"/>
      <c r="I46" s="155"/>
      <c r="J46" s="155"/>
      <c r="K46" s="155"/>
      <c r="L46" s="155"/>
    </row>
    <row r="47" spans="1:12" ht="14.25" x14ac:dyDescent="0.2">
      <c r="A47" s="171"/>
      <c r="B47" s="200"/>
      <c r="C47" s="171"/>
      <c r="E47" s="155"/>
      <c r="F47" s="155"/>
      <c r="G47" s="155"/>
      <c r="H47" s="155"/>
      <c r="I47" s="155"/>
      <c r="J47" s="155"/>
      <c r="K47" s="155"/>
      <c r="L47" s="155"/>
    </row>
    <row r="48" spans="1:12" ht="14.25" x14ac:dyDescent="0.2">
      <c r="A48" s="171"/>
      <c r="B48" s="194"/>
      <c r="C48" s="199"/>
      <c r="E48" s="155"/>
      <c r="F48" s="155"/>
      <c r="G48" s="155"/>
      <c r="H48" s="155"/>
      <c r="I48" s="155"/>
      <c r="J48" s="155"/>
      <c r="K48" s="155"/>
      <c r="L48" s="155"/>
    </row>
    <row r="49" spans="1:12" ht="14.25" x14ac:dyDescent="0.2">
      <c r="A49" s="171"/>
      <c r="B49" s="200"/>
      <c r="C49" s="171"/>
      <c r="E49" s="155"/>
      <c r="F49" s="155"/>
      <c r="G49" s="155"/>
      <c r="H49" s="155"/>
      <c r="I49" s="155"/>
      <c r="J49" s="155"/>
      <c r="K49" s="155"/>
      <c r="L49" s="155"/>
    </row>
    <row r="50" spans="1:12" ht="14.25" x14ac:dyDescent="0.2">
      <c r="A50" s="171"/>
      <c r="B50" s="194"/>
      <c r="C50" s="199"/>
      <c r="E50" s="155"/>
      <c r="F50" s="155"/>
      <c r="G50" s="155"/>
      <c r="H50" s="155"/>
      <c r="I50" s="155"/>
      <c r="J50" s="155"/>
      <c r="K50" s="155"/>
      <c r="L50" s="155"/>
    </row>
    <row r="51" spans="1:12" ht="14.25" x14ac:dyDescent="0.2">
      <c r="A51" s="171"/>
      <c r="B51" s="200"/>
      <c r="C51" s="171"/>
      <c r="E51" s="155"/>
      <c r="F51" s="155"/>
      <c r="G51" s="155"/>
      <c r="H51" s="155"/>
      <c r="I51" s="155"/>
      <c r="J51" s="155"/>
      <c r="K51" s="155"/>
      <c r="L51" s="155"/>
    </row>
    <row r="52" spans="1:12" ht="14.25" x14ac:dyDescent="0.2">
      <c r="A52" s="171"/>
      <c r="B52" s="194"/>
      <c r="C52" s="199"/>
      <c r="E52" s="155"/>
      <c r="F52" s="155"/>
      <c r="G52" s="155"/>
      <c r="H52" s="155"/>
      <c r="I52" s="155"/>
      <c r="J52" s="155"/>
      <c r="K52" s="155"/>
      <c r="L52" s="155"/>
    </row>
    <row r="53" spans="1:12" ht="16.5" x14ac:dyDescent="0.2">
      <c r="A53" s="197"/>
      <c r="B53" s="155"/>
      <c r="C53" s="155"/>
      <c r="E53" s="155"/>
      <c r="F53" s="155"/>
      <c r="G53" s="155"/>
      <c r="H53" s="155"/>
      <c r="I53" s="155"/>
      <c r="J53" s="155"/>
      <c r="K53" s="155"/>
      <c r="L53" s="155"/>
    </row>
    <row r="54" spans="1:12" x14ac:dyDescent="0.2">
      <c r="A54" s="155"/>
      <c r="B54" s="155"/>
      <c r="C54" s="155"/>
      <c r="E54" s="155"/>
      <c r="F54" s="155"/>
      <c r="G54" s="155"/>
      <c r="H54" s="155"/>
      <c r="I54" s="155"/>
      <c r="J54" s="155"/>
      <c r="K54" s="155"/>
      <c r="L54" s="155"/>
    </row>
    <row r="55" spans="1:12" x14ac:dyDescent="0.2">
      <c r="A55" s="155"/>
      <c r="B55" s="155"/>
      <c r="C55" s="155"/>
      <c r="E55" s="155"/>
      <c r="F55" s="155"/>
      <c r="G55" s="155"/>
      <c r="H55" s="155"/>
      <c r="I55" s="155"/>
      <c r="J55" s="155"/>
      <c r="K55" s="155"/>
      <c r="L55" s="155"/>
    </row>
    <row r="56" spans="1:12" x14ac:dyDescent="0.2">
      <c r="A56" s="201"/>
      <c r="B56" s="155"/>
      <c r="C56" s="155"/>
      <c r="E56" s="155"/>
      <c r="F56" s="155"/>
      <c r="G56" s="155"/>
      <c r="H56" s="155"/>
      <c r="I56" s="155"/>
      <c r="J56" s="155"/>
      <c r="K56" s="155"/>
      <c r="L56" s="155"/>
    </row>
    <row r="57" spans="1:12" x14ac:dyDescent="0.2">
      <c r="A57" s="155"/>
      <c r="B57" s="155"/>
      <c r="C57" s="155"/>
      <c r="E57" s="155"/>
    </row>
    <row r="58" spans="1:12" x14ac:dyDescent="0.2">
      <c r="A58" s="155"/>
      <c r="B58" s="155"/>
      <c r="C58" s="155"/>
      <c r="E58" s="155"/>
    </row>
    <row r="59" spans="1:12" x14ac:dyDescent="0.2">
      <c r="A59" s="155"/>
      <c r="B59" s="155"/>
      <c r="C59" s="155"/>
      <c r="E59" s="155"/>
    </row>
    <row r="60" spans="1:12" x14ac:dyDescent="0.2">
      <c r="A60" s="155"/>
      <c r="B60" s="155"/>
      <c r="C60" s="155"/>
      <c r="E60" s="155"/>
    </row>
    <row r="61" spans="1:12" x14ac:dyDescent="0.2">
      <c r="A61" s="155"/>
      <c r="B61" s="155"/>
      <c r="C61" s="155"/>
      <c r="E61" s="155"/>
    </row>
    <row r="62" spans="1:12" x14ac:dyDescent="0.2">
      <c r="A62" s="155"/>
      <c r="B62" s="155"/>
      <c r="C62" s="155"/>
      <c r="E62" s="155"/>
    </row>
    <row r="63" spans="1:12" x14ac:dyDescent="0.2">
      <c r="A63" s="155"/>
      <c r="B63" s="155"/>
      <c r="C63" s="155"/>
      <c r="E63" s="155"/>
    </row>
    <row r="64" spans="1:12" x14ac:dyDescent="0.2">
      <c r="A64" s="155"/>
      <c r="B64" s="155"/>
      <c r="C64" s="155"/>
      <c r="E64" s="155"/>
    </row>
    <row r="65" spans="1:5" x14ac:dyDescent="0.2">
      <c r="A65" s="155"/>
      <c r="B65" s="155"/>
      <c r="C65" s="155"/>
      <c r="E65" s="155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topLeftCell="A4" zoomScaleNormal="100" workbookViewId="0">
      <selection activeCell="B25" sqref="B2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107" t="s">
        <v>260</v>
      </c>
    </row>
    <row r="3" spans="1:3" x14ac:dyDescent="0.2">
      <c r="A3" s="1" t="s">
        <v>222</v>
      </c>
    </row>
    <row r="4" spans="1:3" x14ac:dyDescent="0.2">
      <c r="A4" s="273" t="s">
        <v>218</v>
      </c>
    </row>
    <row r="5" spans="1:3" ht="25.5" customHeight="1" x14ac:dyDescent="0.2">
      <c r="A5" s="324" t="s">
        <v>275</v>
      </c>
      <c r="B5" s="323"/>
      <c r="C5" s="323"/>
    </row>
    <row r="6" spans="1:3" x14ac:dyDescent="0.2">
      <c r="A6" s="1" t="s">
        <v>219</v>
      </c>
    </row>
    <row r="7" spans="1:3" ht="26.25" customHeight="1" x14ac:dyDescent="0.2">
      <c r="A7" s="323" t="s">
        <v>220</v>
      </c>
      <c r="B7" s="323"/>
      <c r="C7" s="323"/>
    </row>
    <row r="8" spans="1:3" x14ac:dyDescent="0.2">
      <c r="A8" s="1" t="s">
        <v>221</v>
      </c>
    </row>
    <row r="9" spans="1:3" x14ac:dyDescent="0.2">
      <c r="A9" s="1" t="s">
        <v>261</v>
      </c>
    </row>
    <row r="10" spans="1:3" ht="13.5" thickBot="1" x14ac:dyDescent="0.25"/>
    <row r="11" spans="1:3" ht="18" x14ac:dyDescent="0.25">
      <c r="B11" s="321" t="s">
        <v>246</v>
      </c>
      <c r="C11" s="322"/>
    </row>
    <row r="12" spans="1:3" ht="15" x14ac:dyDescent="0.25">
      <c r="A12" s="155"/>
      <c r="B12" s="154" t="s">
        <v>217</v>
      </c>
      <c r="C12" s="202"/>
    </row>
    <row r="13" spans="1:3" ht="15" x14ac:dyDescent="0.25">
      <c r="A13" s="155"/>
      <c r="B13" s="156" t="s">
        <v>133</v>
      </c>
      <c r="C13" s="157">
        <v>2486</v>
      </c>
    </row>
    <row r="14" spans="1:3" ht="15" x14ac:dyDescent="0.25">
      <c r="A14" s="155"/>
      <c r="B14" s="158" t="s">
        <v>134</v>
      </c>
      <c r="C14" s="157">
        <v>3303</v>
      </c>
    </row>
    <row r="15" spans="1:3" ht="14.25" x14ac:dyDescent="0.2">
      <c r="A15" s="155"/>
      <c r="B15" s="203" t="s">
        <v>135</v>
      </c>
      <c r="C15" s="204">
        <v>81</v>
      </c>
    </row>
    <row r="16" spans="1:3" ht="14.25" x14ac:dyDescent="0.2">
      <c r="A16" s="155"/>
      <c r="B16" s="203" t="s">
        <v>136</v>
      </c>
      <c r="C16" s="204">
        <v>2336</v>
      </c>
    </row>
    <row r="17" spans="1:7" ht="14.25" x14ac:dyDescent="0.2">
      <c r="A17" s="155"/>
      <c r="B17" s="203" t="s">
        <v>137</v>
      </c>
      <c r="C17" s="204">
        <v>342</v>
      </c>
    </row>
    <row r="18" spans="1:7" ht="14.25" x14ac:dyDescent="0.2">
      <c r="A18" s="155"/>
      <c r="B18" s="203" t="s">
        <v>138</v>
      </c>
      <c r="C18" s="204">
        <v>18</v>
      </c>
    </row>
    <row r="19" spans="1:7" ht="14.25" x14ac:dyDescent="0.2">
      <c r="A19" s="155"/>
      <c r="B19" s="203" t="s">
        <v>139</v>
      </c>
      <c r="C19" s="204">
        <v>500</v>
      </c>
    </row>
    <row r="20" spans="1:7" ht="14.25" x14ac:dyDescent="0.2">
      <c r="A20" s="155"/>
      <c r="B20" s="203" t="s">
        <v>140</v>
      </c>
      <c r="C20" s="204">
        <v>1</v>
      </c>
    </row>
    <row r="21" spans="1:7" ht="14.25" x14ac:dyDescent="0.2">
      <c r="A21" s="155"/>
      <c r="B21" s="203" t="s">
        <v>141</v>
      </c>
      <c r="C21" s="204">
        <v>25</v>
      </c>
    </row>
    <row r="22" spans="1:7" ht="14.25" x14ac:dyDescent="0.2">
      <c r="A22" s="155"/>
      <c r="B22" s="205" t="s">
        <v>142</v>
      </c>
      <c r="C22" s="206">
        <v>0</v>
      </c>
    </row>
    <row r="23" spans="1:7" ht="15" x14ac:dyDescent="0.25">
      <c r="A23" s="155" t="s">
        <v>143</v>
      </c>
      <c r="B23" s="154" t="s">
        <v>144</v>
      </c>
      <c r="C23" s="202"/>
    </row>
    <row r="24" spans="1:7" ht="14.25" x14ac:dyDescent="0.2">
      <c r="A24" s="155"/>
      <c r="B24" s="207" t="s">
        <v>281</v>
      </c>
      <c r="C24" s="208">
        <v>6400</v>
      </c>
    </row>
    <row r="25" spans="1:7" ht="14.25" x14ac:dyDescent="0.2">
      <c r="A25" s="155"/>
      <c r="B25" s="203" t="s">
        <v>282</v>
      </c>
      <c r="C25" s="204">
        <v>5583</v>
      </c>
    </row>
    <row r="26" spans="1:7" ht="14.25" x14ac:dyDescent="0.2">
      <c r="B26" s="203" t="s">
        <v>283</v>
      </c>
      <c r="C26" s="204">
        <v>-817</v>
      </c>
    </row>
    <row r="27" spans="1:7" ht="14.25" x14ac:dyDescent="0.2">
      <c r="B27" s="209"/>
      <c r="C27" s="210"/>
    </row>
    <row r="28" spans="1:7" ht="15" x14ac:dyDescent="0.25">
      <c r="B28" s="159" t="s">
        <v>145</v>
      </c>
      <c r="C28" s="274">
        <f>MEDIAN(C13,C14)/MEDIAN(C24,C25)</f>
        <v>0.48310105983476592</v>
      </c>
      <c r="G28" s="1">
        <f>12/C28</f>
        <v>24.839523233719124</v>
      </c>
    </row>
    <row r="29" spans="1:7" ht="15" x14ac:dyDescent="0.25">
      <c r="B29" s="156" t="s">
        <v>146</v>
      </c>
      <c r="C29" s="274">
        <f>C16/MEDIAN(C24,C25)</f>
        <v>0.38988567136777103</v>
      </c>
    </row>
    <row r="30" spans="1:7" ht="15" x14ac:dyDescent="0.25">
      <c r="B30" s="161" t="s">
        <v>147</v>
      </c>
      <c r="C30" s="160">
        <v>360</v>
      </c>
    </row>
    <row r="31" spans="1:7" ht="15" x14ac:dyDescent="0.25">
      <c r="B31" s="156" t="s">
        <v>262</v>
      </c>
      <c r="C31" s="160">
        <v>10</v>
      </c>
    </row>
    <row r="32" spans="1:7" ht="15" x14ac:dyDescent="0.25">
      <c r="B32" s="156" t="s">
        <v>263</v>
      </c>
      <c r="C32" s="160">
        <v>30</v>
      </c>
      <c r="G32" s="1">
        <f>TRUNC(G37)</f>
        <v>0</v>
      </c>
    </row>
    <row r="33" spans="2:11" ht="15" x14ac:dyDescent="0.25">
      <c r="B33" s="156" t="s">
        <v>264</v>
      </c>
      <c r="C33" s="160">
        <v>30</v>
      </c>
    </row>
    <row r="34" spans="2:11" s="107" customFormat="1" ht="15" x14ac:dyDescent="0.25">
      <c r="B34" s="156" t="s">
        <v>148</v>
      </c>
      <c r="C34" s="211">
        <f>MEDIAN(C24,C25)</f>
        <v>5991.5</v>
      </c>
    </row>
    <row r="35" spans="2:11" s="107" customFormat="1" ht="15" x14ac:dyDescent="0.25">
      <c r="B35" s="156" t="s">
        <v>42</v>
      </c>
      <c r="C35" s="212">
        <v>0.08</v>
      </c>
      <c r="K35" s="107">
        <f>IF(C39&gt;12,C39-12,C39)</f>
        <v>12.839523233719124</v>
      </c>
    </row>
    <row r="36" spans="2:11" s="107" customFormat="1" ht="15" x14ac:dyDescent="0.25">
      <c r="B36" s="156" t="s">
        <v>149</v>
      </c>
      <c r="C36" s="212">
        <v>0.5</v>
      </c>
      <c r="K36" s="107" t="e">
        <f>IF(#REF!&gt;12,#REF!-12,#REF!)</f>
        <v>#REF!</v>
      </c>
    </row>
    <row r="37" spans="2:11" s="107" customFormat="1" ht="15" x14ac:dyDescent="0.25">
      <c r="B37" s="156" t="s">
        <v>150</v>
      </c>
      <c r="C37" s="275">
        <f>((1/C28)-TRUNC(E37))</f>
        <v>6.9960269476593506E-2</v>
      </c>
      <c r="D37" s="107">
        <f>TRUNC(E37)</f>
        <v>2</v>
      </c>
      <c r="E37" s="107">
        <f>1/C28</f>
        <v>2.0699602694765935</v>
      </c>
      <c r="F37" s="107">
        <f>((1/C28)-TRUNC(E37))</f>
        <v>6.9960269476593506E-2</v>
      </c>
      <c r="G37" s="107">
        <f>12*F37</f>
        <v>0.83952323371912208</v>
      </c>
      <c r="K37" s="107" t="e">
        <f>IF(#REF!&gt;12,#REF!-12,#REF!)</f>
        <v>#REF!</v>
      </c>
    </row>
    <row r="38" spans="2:11" s="107" customFormat="1" ht="15" x14ac:dyDescent="0.25">
      <c r="B38" s="154" t="s">
        <v>151</v>
      </c>
      <c r="C38" s="162">
        <f>30+D38</f>
        <v>36</v>
      </c>
      <c r="D38" s="107">
        <f>3*D37</f>
        <v>6</v>
      </c>
      <c r="G38" s="107">
        <f>G37/12*40/360</f>
        <v>7.7733632751770566E-3</v>
      </c>
      <c r="K38" s="107" t="e">
        <f>IF(#REF!&gt;12,#REF!-12,#REF!)</f>
        <v>#REF!</v>
      </c>
    </row>
    <row r="39" spans="2:11" s="107" customFormat="1" ht="15.75" thickBot="1" x14ac:dyDescent="0.3">
      <c r="B39" s="163" t="s">
        <v>267</v>
      </c>
      <c r="C39" s="276">
        <f>12/C28</f>
        <v>24.839523233719124</v>
      </c>
      <c r="K39" s="107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F14" sqref="F14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1" bestFit="1" customWidth="1"/>
    <col min="6" max="6" width="9.7109375" bestFit="1" customWidth="1"/>
  </cols>
  <sheetData>
    <row r="1" spans="1:8" s="144" customFormat="1" ht="14.25" x14ac:dyDescent="0.2">
      <c r="A1" s="10" t="s">
        <v>215</v>
      </c>
      <c r="B1" s="142"/>
      <c r="C1" s="142"/>
      <c r="E1" s="145"/>
    </row>
    <row r="2" spans="1:8" s="144" customFormat="1" ht="14.25" x14ac:dyDescent="0.2">
      <c r="A2" s="137" t="s">
        <v>268</v>
      </c>
      <c r="B2" s="142"/>
      <c r="C2" s="142"/>
      <c r="E2" s="145"/>
    </row>
    <row r="3" spans="1:8" s="144" customFormat="1" ht="14.25" x14ac:dyDescent="0.2">
      <c r="A3" s="8" t="s">
        <v>216</v>
      </c>
      <c r="B3" s="142"/>
      <c r="C3" s="142"/>
      <c r="E3" s="145"/>
    </row>
    <row r="4" spans="1:8" s="144" customFormat="1" ht="14.25" x14ac:dyDescent="0.2">
      <c r="A4" s="137"/>
      <c r="B4" s="142"/>
      <c r="C4" s="142"/>
      <c r="E4" s="145"/>
    </row>
    <row r="5" spans="1:8" s="144" customFormat="1" ht="15" thickBot="1" x14ac:dyDescent="0.25">
      <c r="B5" s="142"/>
      <c r="C5" s="142"/>
      <c r="E5" s="145"/>
    </row>
    <row r="6" spans="1:8" ht="15.75" x14ac:dyDescent="0.2">
      <c r="A6" s="330" t="s">
        <v>247</v>
      </c>
      <c r="B6" s="331"/>
      <c r="C6" s="331"/>
      <c r="D6" s="331"/>
      <c r="E6" s="331"/>
      <c r="F6" s="332"/>
    </row>
    <row r="7" spans="1:8" ht="16.5" thickBot="1" x14ac:dyDescent="0.25">
      <c r="A7" s="258"/>
      <c r="B7" s="259"/>
      <c r="C7" s="259"/>
      <c r="D7" s="259"/>
      <c r="E7" s="259"/>
      <c r="F7" s="260"/>
    </row>
    <row r="8" spans="1:8" ht="15" x14ac:dyDescent="0.25">
      <c r="A8" s="213"/>
      <c r="B8" s="143"/>
      <c r="C8" s="143"/>
      <c r="D8" s="327" t="s">
        <v>265</v>
      </c>
      <c r="E8" s="328"/>
      <c r="F8" s="329"/>
      <c r="G8" s="144"/>
      <c r="H8" s="144"/>
    </row>
    <row r="9" spans="1:8" ht="15" thickBot="1" x14ac:dyDescent="0.25">
      <c r="A9" s="209"/>
      <c r="B9" s="214"/>
      <c r="C9" s="214"/>
      <c r="D9" s="215" t="s">
        <v>202</v>
      </c>
      <c r="E9" s="216" t="s">
        <v>203</v>
      </c>
      <c r="F9" s="217" t="s">
        <v>204</v>
      </c>
      <c r="G9" s="144"/>
      <c r="H9" s="144"/>
    </row>
    <row r="10" spans="1:8" ht="14.25" x14ac:dyDescent="0.2">
      <c r="A10" s="218" t="s">
        <v>77</v>
      </c>
      <c r="B10" s="219" t="s">
        <v>78</v>
      </c>
      <c r="C10" s="220">
        <v>0.01</v>
      </c>
      <c r="D10" s="241">
        <v>2.9700000000000001E-2</v>
      </c>
      <c r="E10" s="242">
        <v>5.0799999999999998E-2</v>
      </c>
      <c r="F10" s="243">
        <v>6.2700000000000006E-2</v>
      </c>
      <c r="G10" s="144"/>
      <c r="H10" s="144"/>
    </row>
    <row r="11" spans="1:8" ht="14.25" x14ac:dyDescent="0.2">
      <c r="A11" s="222" t="s">
        <v>79</v>
      </c>
      <c r="B11" s="223" t="s">
        <v>80</v>
      </c>
      <c r="C11" s="224">
        <v>0.01</v>
      </c>
      <c r="D11" s="241">
        <f>0.3%+0.56%</f>
        <v>8.6E-3</v>
      </c>
      <c r="E11" s="242">
        <f>0.48%+0.85%</f>
        <v>1.3299999999999999E-2</v>
      </c>
      <c r="F11" s="243">
        <f>0.82%+0.89%</f>
        <v>1.7099999999999997E-2</v>
      </c>
      <c r="G11" s="144"/>
      <c r="H11" s="144"/>
    </row>
    <row r="12" spans="1:8" ht="14.25" x14ac:dyDescent="0.2">
      <c r="A12" s="222" t="s">
        <v>81</v>
      </c>
      <c r="B12" s="223" t="s">
        <v>82</v>
      </c>
      <c r="C12" s="224">
        <v>0.09</v>
      </c>
      <c r="D12" s="241">
        <v>7.7799999999999994E-2</v>
      </c>
      <c r="E12" s="242">
        <v>0.1085</v>
      </c>
      <c r="F12" s="243">
        <v>0.13550000000000001</v>
      </c>
      <c r="G12" s="144"/>
      <c r="H12" s="144"/>
    </row>
    <row r="13" spans="1:8" ht="14.25" x14ac:dyDescent="0.2">
      <c r="A13" s="222" t="s">
        <v>83</v>
      </c>
      <c r="B13" s="223" t="s">
        <v>84</v>
      </c>
      <c r="C13" s="225">
        <v>0.01</v>
      </c>
      <c r="D13" s="241" t="s">
        <v>311</v>
      </c>
      <c r="E13" s="226">
        <v>6.5000000000000002E-2</v>
      </c>
      <c r="F13" s="221"/>
      <c r="G13" s="144"/>
      <c r="H13" s="144"/>
    </row>
    <row r="14" spans="1:8" ht="14.25" x14ac:dyDescent="0.2">
      <c r="A14" s="222" t="s">
        <v>85</v>
      </c>
      <c r="B14" s="325" t="s">
        <v>86</v>
      </c>
      <c r="C14" s="224">
        <v>0.02</v>
      </c>
      <c r="D14" s="300" t="s">
        <v>205</v>
      </c>
      <c r="E14" s="227">
        <v>40</v>
      </c>
      <c r="F14" s="228"/>
      <c r="G14" s="144"/>
      <c r="H14" s="144"/>
    </row>
    <row r="15" spans="1:8" ht="15" thickBot="1" x14ac:dyDescent="0.25">
      <c r="A15" s="229" t="s">
        <v>87</v>
      </c>
      <c r="B15" s="326"/>
      <c r="C15" s="230">
        <v>3.6499999999999998E-2</v>
      </c>
      <c r="D15" s="203"/>
      <c r="E15" s="231"/>
      <c r="F15" s="228"/>
      <c r="G15" s="144"/>
      <c r="H15" s="144"/>
    </row>
    <row r="16" spans="1:8" ht="14.25" x14ac:dyDescent="0.2">
      <c r="A16" s="232" t="s">
        <v>88</v>
      </c>
      <c r="B16" s="233"/>
      <c r="C16" s="234"/>
      <c r="D16" s="203"/>
      <c r="E16" s="231"/>
      <c r="F16" s="228"/>
      <c r="G16" s="144"/>
      <c r="H16" s="144"/>
    </row>
    <row r="17" spans="1:8" ht="15" thickBot="1" x14ac:dyDescent="0.25">
      <c r="A17" s="235" t="s">
        <v>89</v>
      </c>
      <c r="B17" s="236"/>
      <c r="C17" s="237"/>
      <c r="D17" s="203"/>
      <c r="E17" s="231"/>
      <c r="F17" s="228"/>
      <c r="G17" s="144"/>
      <c r="H17" s="144"/>
    </row>
    <row r="18" spans="1:8" ht="15.75" thickBot="1" x14ac:dyDescent="0.25">
      <c r="A18" s="238" t="s">
        <v>90</v>
      </c>
      <c r="B18" s="239"/>
      <c r="C18" s="240">
        <f>ROUND((((1+C10+C11)*(1+C12)*(1+C13))/(1-(C14+C15))-1),4)</f>
        <v>0.19020000000000001</v>
      </c>
      <c r="D18" s="244">
        <v>0.21429999999999999</v>
      </c>
      <c r="E18" s="245">
        <v>0.2717</v>
      </c>
      <c r="F18" s="246">
        <v>0.3362</v>
      </c>
      <c r="G18" s="144"/>
      <c r="H18" s="144"/>
    </row>
    <row r="19" spans="1:8" ht="14.25" x14ac:dyDescent="0.2">
      <c r="A19" s="144"/>
      <c r="B19" s="144"/>
      <c r="C19" s="144"/>
      <c r="D19" s="144"/>
      <c r="E19" s="145"/>
      <c r="F19" s="144"/>
      <c r="G19" s="144"/>
      <c r="H19" s="144"/>
    </row>
    <row r="20" spans="1:8" ht="14.25" x14ac:dyDescent="0.2">
      <c r="A20" s="144"/>
      <c r="B20" s="144"/>
      <c r="C20" s="144"/>
      <c r="D20" s="144"/>
      <c r="E20" s="145"/>
      <c r="F20" s="144"/>
      <c r="G20" s="144"/>
      <c r="H20" s="144"/>
    </row>
    <row r="21" spans="1:8" ht="14.25" x14ac:dyDescent="0.2">
      <c r="A21" s="144"/>
      <c r="B21" s="144"/>
      <c r="C21" s="144"/>
      <c r="D21" s="144"/>
      <c r="E21" s="145"/>
      <c r="F21" s="144"/>
      <c r="G21" s="144"/>
      <c r="H21" s="144"/>
    </row>
    <row r="22" spans="1:8" ht="14.25" x14ac:dyDescent="0.2">
      <c r="A22" s="144"/>
      <c r="B22" s="144"/>
      <c r="C22" s="144"/>
      <c r="D22" s="144"/>
      <c r="E22" s="145"/>
      <c r="F22" s="144"/>
      <c r="G22" s="144"/>
      <c r="H22" s="144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33" t="s">
        <v>249</v>
      </c>
      <c r="B1" s="334"/>
    </row>
    <row r="2" spans="1:2" s="107" customFormat="1" ht="19.5" customHeight="1" x14ac:dyDescent="0.2">
      <c r="A2" s="261" t="s">
        <v>223</v>
      </c>
      <c r="B2" s="262" t="s">
        <v>308</v>
      </c>
    </row>
    <row r="3" spans="1:2" ht="19.5" customHeight="1" x14ac:dyDescent="0.2">
      <c r="A3" s="165">
        <v>1</v>
      </c>
      <c r="B3" s="164">
        <v>33.629999999999995</v>
      </c>
    </row>
    <row r="4" spans="1:2" ht="19.5" customHeight="1" x14ac:dyDescent="0.2">
      <c r="A4" s="165">
        <v>2</v>
      </c>
      <c r="B4" s="164">
        <v>43.13</v>
      </c>
    </row>
    <row r="5" spans="1:2" ht="19.5" customHeight="1" x14ac:dyDescent="0.2">
      <c r="A5" s="165">
        <v>3</v>
      </c>
      <c r="B5" s="164">
        <v>48.68</v>
      </c>
    </row>
    <row r="6" spans="1:2" ht="19.5" customHeight="1" x14ac:dyDescent="0.2">
      <c r="A6" s="165">
        <v>4</v>
      </c>
      <c r="B6" s="164">
        <v>52.62</v>
      </c>
    </row>
    <row r="7" spans="1:2" ht="19.5" customHeight="1" x14ac:dyDescent="0.2">
      <c r="A7" s="165">
        <v>5</v>
      </c>
      <c r="B7" s="164">
        <v>55.679999999999993</v>
      </c>
    </row>
    <row r="8" spans="1:2" ht="19.5" customHeight="1" x14ac:dyDescent="0.2">
      <c r="A8" s="165">
        <v>6</v>
      </c>
      <c r="B8" s="164">
        <v>58.18</v>
      </c>
    </row>
    <row r="9" spans="1:2" ht="19.5" customHeight="1" x14ac:dyDescent="0.2">
      <c r="A9" s="165">
        <v>7</v>
      </c>
      <c r="B9" s="164">
        <v>60.29</v>
      </c>
    </row>
    <row r="10" spans="1:2" ht="19.5" customHeight="1" x14ac:dyDescent="0.2">
      <c r="A10" s="165">
        <v>8</v>
      </c>
      <c r="B10" s="164">
        <v>62.12</v>
      </c>
    </row>
    <row r="11" spans="1:2" ht="19.5" customHeight="1" x14ac:dyDescent="0.2">
      <c r="A11" s="165">
        <v>9</v>
      </c>
      <c r="B11" s="164">
        <v>63.73</v>
      </c>
    </row>
    <row r="12" spans="1:2" ht="19.5" customHeight="1" x14ac:dyDescent="0.2">
      <c r="A12" s="165">
        <v>10</v>
      </c>
      <c r="B12" s="164">
        <v>65.180000000000007</v>
      </c>
    </row>
    <row r="13" spans="1:2" ht="19.5" customHeight="1" x14ac:dyDescent="0.2">
      <c r="A13" s="165">
        <v>11</v>
      </c>
      <c r="B13" s="164">
        <v>66.47999999999999</v>
      </c>
    </row>
    <row r="14" spans="1:2" ht="19.5" customHeight="1" x14ac:dyDescent="0.2">
      <c r="A14" s="165">
        <v>12</v>
      </c>
      <c r="B14" s="164">
        <v>67.67</v>
      </c>
    </row>
    <row r="15" spans="1:2" ht="19.5" customHeight="1" x14ac:dyDescent="0.2">
      <c r="A15" s="165">
        <v>13</v>
      </c>
      <c r="B15" s="164">
        <v>68.77</v>
      </c>
    </row>
    <row r="16" spans="1:2" ht="19.5" customHeight="1" x14ac:dyDescent="0.2">
      <c r="A16" s="165">
        <v>14</v>
      </c>
      <c r="B16" s="164">
        <v>69.789999999999992</v>
      </c>
    </row>
    <row r="17" spans="1:2" ht="19.5" customHeight="1" thickBot="1" x14ac:dyDescent="0.25">
      <c r="A17" s="166">
        <v>15</v>
      </c>
      <c r="B17" s="167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50" t="s">
        <v>253</v>
      </c>
    </row>
    <row r="2" spans="1:1" x14ac:dyDescent="0.2">
      <c r="A2" s="247"/>
    </row>
    <row r="3" spans="1:1" x14ac:dyDescent="0.2">
      <c r="A3" s="247" t="s">
        <v>269</v>
      </c>
    </row>
    <row r="4" spans="1:1" x14ac:dyDescent="0.2">
      <c r="A4" s="247"/>
    </row>
    <row r="5" spans="1:1" x14ac:dyDescent="0.2">
      <c r="A5" s="247"/>
    </row>
    <row r="6" spans="1:1" x14ac:dyDescent="0.2">
      <c r="A6" s="247"/>
    </row>
    <row r="7" spans="1:1" x14ac:dyDescent="0.2">
      <c r="A7" s="247"/>
    </row>
    <row r="8" spans="1:1" x14ac:dyDescent="0.2">
      <c r="A8" s="247"/>
    </row>
    <row r="9" spans="1:1" x14ac:dyDescent="0.2">
      <c r="A9" s="247"/>
    </row>
    <row r="10" spans="1:1" x14ac:dyDescent="0.2">
      <c r="A10" s="247"/>
    </row>
    <row r="11" spans="1:1" x14ac:dyDescent="0.2">
      <c r="A11" s="247"/>
    </row>
    <row r="12" spans="1:1" ht="19.5" x14ac:dyDescent="0.35">
      <c r="A12" s="248" t="s">
        <v>250</v>
      </c>
    </row>
    <row r="13" spans="1:1" ht="15" x14ac:dyDescent="0.2">
      <c r="A13" s="248" t="s">
        <v>116</v>
      </c>
    </row>
    <row r="14" spans="1:1" ht="15" x14ac:dyDescent="0.2">
      <c r="A14" s="248" t="s">
        <v>121</v>
      </c>
    </row>
    <row r="15" spans="1:1" ht="19.5" x14ac:dyDescent="0.35">
      <c r="A15" s="248" t="s">
        <v>251</v>
      </c>
    </row>
    <row r="16" spans="1:1" ht="19.5" x14ac:dyDescent="0.35">
      <c r="A16" s="248" t="s">
        <v>252</v>
      </c>
    </row>
    <row r="17" spans="1:1" ht="15.75" thickBot="1" x14ac:dyDescent="0.25">
      <c r="A17" s="249" t="s">
        <v>117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zoomScale="170" zoomScaleNormal="170" workbookViewId="0">
      <selection activeCell="A4" sqref="A4"/>
    </sheetView>
  </sheetViews>
  <sheetFormatPr defaultRowHeight="12.75" x14ac:dyDescent="0.2"/>
  <cols>
    <col min="1" max="1" width="58.28515625" style="273" customWidth="1"/>
    <col min="2" max="2" width="11.140625" style="273" bestFit="1" customWidth="1"/>
    <col min="3" max="3" width="11.28515625" style="273" bestFit="1" customWidth="1"/>
    <col min="4" max="16384" width="9.140625" style="273"/>
  </cols>
  <sheetData>
    <row r="1" spans="1:3" x14ac:dyDescent="0.2">
      <c r="A1" s="10" t="s">
        <v>215</v>
      </c>
    </row>
    <row r="2" spans="1:3" x14ac:dyDescent="0.2">
      <c r="A2" s="281" t="s">
        <v>284</v>
      </c>
    </row>
    <row r="3" spans="1:3" x14ac:dyDescent="0.2">
      <c r="A3" s="281" t="s">
        <v>309</v>
      </c>
    </row>
    <row r="4" spans="1:3" x14ac:dyDescent="0.2">
      <c r="A4" s="6" t="s">
        <v>307</v>
      </c>
    </row>
    <row r="5" spans="1:3" ht="13.5" thickBot="1" x14ac:dyDescent="0.25"/>
    <row r="6" spans="1:3" ht="18" x14ac:dyDescent="0.25">
      <c r="A6" s="335" t="s">
        <v>304</v>
      </c>
      <c r="B6" s="336"/>
      <c r="C6" s="337"/>
    </row>
    <row r="7" spans="1:3" s="282" customFormat="1" ht="18" x14ac:dyDescent="0.25">
      <c r="A7" s="297"/>
      <c r="B7" s="296"/>
      <c r="C7" s="298"/>
    </row>
    <row r="8" spans="1:3" s="107" customFormat="1" ht="15" x14ac:dyDescent="0.25">
      <c r="A8" s="283" t="s">
        <v>305</v>
      </c>
      <c r="B8" s="284" t="s">
        <v>285</v>
      </c>
      <c r="C8" s="285" t="s">
        <v>154</v>
      </c>
    </row>
    <row r="9" spans="1:3" ht="14.25" x14ac:dyDescent="0.2">
      <c r="A9" s="286" t="s">
        <v>293</v>
      </c>
      <c r="B9" s="287" t="s">
        <v>286</v>
      </c>
      <c r="C9" s="204"/>
    </row>
    <row r="10" spans="1:3" ht="14.25" x14ac:dyDescent="0.2">
      <c r="A10" s="203" t="s">
        <v>294</v>
      </c>
      <c r="B10" s="288" t="s">
        <v>291</v>
      </c>
      <c r="C10" s="289">
        <f>0.0362741*C9^0.2336249</f>
        <v>0</v>
      </c>
    </row>
    <row r="11" spans="1:3" ht="14.25" x14ac:dyDescent="0.2">
      <c r="A11" s="203" t="s">
        <v>295</v>
      </c>
      <c r="B11" s="288" t="s">
        <v>292</v>
      </c>
      <c r="C11" s="290">
        <f>C9*C10/1000</f>
        <v>0</v>
      </c>
    </row>
    <row r="12" spans="1:3" ht="14.25" x14ac:dyDescent="0.2">
      <c r="A12" s="203" t="s">
        <v>301</v>
      </c>
      <c r="B12" s="288" t="s">
        <v>287</v>
      </c>
      <c r="C12" s="291">
        <f>(C11*30)</f>
        <v>0</v>
      </c>
    </row>
    <row r="13" spans="1:3" ht="14.25" x14ac:dyDescent="0.2">
      <c r="A13" s="203" t="s">
        <v>297</v>
      </c>
      <c r="B13" s="288" t="s">
        <v>95</v>
      </c>
      <c r="C13" s="294"/>
    </row>
    <row r="14" spans="1:3" ht="14.25" x14ac:dyDescent="0.2">
      <c r="A14" s="203" t="s">
        <v>296</v>
      </c>
      <c r="B14" s="288" t="s">
        <v>292</v>
      </c>
      <c r="C14" s="290">
        <f>IFERROR(C11*7/C13,0)</f>
        <v>0</v>
      </c>
    </row>
    <row r="15" spans="1:3" ht="14.25" x14ac:dyDescent="0.2">
      <c r="A15" s="286" t="s">
        <v>288</v>
      </c>
      <c r="B15" s="288" t="s">
        <v>289</v>
      </c>
      <c r="C15" s="228">
        <v>500</v>
      </c>
    </row>
    <row r="16" spans="1:3" ht="14.25" x14ac:dyDescent="0.2">
      <c r="A16" s="203" t="s">
        <v>302</v>
      </c>
      <c r="B16" s="288"/>
      <c r="C16" s="204"/>
    </row>
    <row r="17" spans="1:3" ht="14.25" x14ac:dyDescent="0.2">
      <c r="A17" s="286" t="s">
        <v>303</v>
      </c>
      <c r="B17" s="288" t="s">
        <v>290</v>
      </c>
      <c r="C17" s="204"/>
    </row>
    <row r="18" spans="1:3" ht="14.25" x14ac:dyDescent="0.2">
      <c r="A18" s="203" t="s">
        <v>298</v>
      </c>
      <c r="B18" s="288" t="s">
        <v>287</v>
      </c>
      <c r="C18" s="228">
        <f>IF(AND(C17&gt;=15,C16=1),5.8,C17/2)</f>
        <v>0</v>
      </c>
    </row>
    <row r="19" spans="1:3" ht="14.25" x14ac:dyDescent="0.2">
      <c r="A19" s="286" t="s">
        <v>299</v>
      </c>
      <c r="B19" s="288"/>
      <c r="C19" s="290">
        <f>IFERROR(C14/C18,0)</f>
        <v>0</v>
      </c>
    </row>
    <row r="20" spans="1:3" ht="14.25" x14ac:dyDescent="0.2">
      <c r="A20" s="286" t="s">
        <v>306</v>
      </c>
      <c r="B20" s="288"/>
      <c r="C20" s="299"/>
    </row>
    <row r="21" spans="1:3" ht="15" thickBot="1" x14ac:dyDescent="0.25">
      <c r="A21" s="292" t="s">
        <v>300</v>
      </c>
      <c r="B21" s="293"/>
      <c r="C21" s="295">
        <f>IFERROR(C19/C20,0)</f>
        <v>0</v>
      </c>
    </row>
  </sheetData>
  <mergeCells count="1">
    <mergeCell ref="A6:C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Sidnei Jesus Araujo do Amaral</cp:lastModifiedBy>
  <cp:lastPrinted>2019-03-12T14:14:56Z</cp:lastPrinted>
  <dcterms:created xsi:type="dcterms:W3CDTF">2000-12-13T10:02:50Z</dcterms:created>
  <dcterms:modified xsi:type="dcterms:W3CDTF">2019-03-12T14:15:49Z</dcterms:modified>
</cp:coreProperties>
</file>