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Domiciliar'!$A$1:$F$312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D93" i="2" l="1"/>
  <c r="D97" i="2"/>
  <c r="E64" i="2"/>
  <c r="C180" i="2"/>
  <c r="E45" i="2"/>
  <c r="F107" i="2"/>
  <c r="E106" i="2"/>
  <c r="E142" i="2"/>
  <c r="F143" i="2" s="1"/>
  <c r="D165" i="2"/>
  <c r="E267" i="2" l="1"/>
  <c r="F268" i="2" s="1"/>
  <c r="D247" i="2" l="1"/>
  <c r="C247" i="2"/>
  <c r="E247" i="2" s="1"/>
  <c r="E245" i="2"/>
  <c r="E244" i="2"/>
  <c r="E163" i="2"/>
  <c r="E164" i="2"/>
  <c r="E152" i="2"/>
  <c r="E139" i="2"/>
  <c r="F140" i="2" s="1"/>
  <c r="E133" i="2"/>
  <c r="F135" i="2" s="1"/>
  <c r="E134" i="2"/>
  <c r="E175" i="2" l="1"/>
  <c r="E63" i="2" l="1"/>
  <c r="D180" i="2" l="1"/>
  <c r="F115" i="2" l="1"/>
  <c r="D59" i="2" l="1"/>
  <c r="A49" i="2" l="1"/>
  <c r="C21" i="9" l="1"/>
  <c r="C23" i="5" l="1"/>
  <c r="C224" i="2" l="1"/>
  <c r="C223" i="2"/>
  <c r="C225" i="2"/>
  <c r="A36" i="2" l="1"/>
  <c r="A35" i="2"/>
  <c r="A34" i="2"/>
  <c r="A26" i="2"/>
  <c r="A25" i="2"/>
  <c r="A17" i="2"/>
  <c r="C13" i="9" l="1"/>
  <c r="C14" i="9" s="1"/>
  <c r="C15" i="9" l="1"/>
  <c r="C17" i="9"/>
  <c r="C22" i="9" s="1"/>
  <c r="C24" i="9" s="1"/>
  <c r="E43" i="2" l="1"/>
  <c r="E49" i="2"/>
  <c r="C218" i="2" l="1"/>
  <c r="C213" i="2"/>
  <c r="D243" i="2"/>
  <c r="D241" i="2"/>
  <c r="D239" i="2"/>
  <c r="D237" i="2"/>
  <c r="E171" i="2" l="1"/>
  <c r="E153" i="2"/>
  <c r="E154" i="2"/>
  <c r="E155" i="2"/>
  <c r="E156" i="2"/>
  <c r="E157" i="2"/>
  <c r="E158" i="2"/>
  <c r="E159" i="2"/>
  <c r="E160" i="2"/>
  <c r="E161" i="2"/>
  <c r="D60" i="2" l="1"/>
  <c r="E60" i="2" s="1"/>
  <c r="E59" i="2"/>
  <c r="E93" i="2"/>
  <c r="D61" i="2" l="1"/>
  <c r="E61" i="2" s="1"/>
  <c r="E94" i="2"/>
  <c r="D95" i="2" s="1"/>
  <c r="E95" i="2" s="1"/>
  <c r="C80" i="2"/>
  <c r="C77" i="2"/>
  <c r="C262" i="2" l="1"/>
  <c r="A33" i="2"/>
  <c r="A32" i="2"/>
  <c r="A31" i="2"/>
  <c r="A30" i="2"/>
  <c r="A29" i="2"/>
  <c r="A28" i="2"/>
  <c r="A27" i="2"/>
  <c r="A24" i="2"/>
  <c r="A23" i="2"/>
  <c r="A22" i="2"/>
  <c r="A21" i="2"/>
  <c r="A20" i="2"/>
  <c r="A19" i="2"/>
  <c r="A18" i="2"/>
  <c r="C20" i="8"/>
  <c r="E291" i="2"/>
  <c r="E227" i="2"/>
  <c r="E219" i="2"/>
  <c r="E203" i="2"/>
  <c r="E181" i="2"/>
  <c r="E166" i="2"/>
  <c r="E129" i="2"/>
  <c r="E102" i="2"/>
  <c r="E87" i="2"/>
  <c r="E68" i="2"/>
  <c r="D207" i="2"/>
  <c r="D225" i="2" s="1"/>
  <c r="C20" i="4"/>
  <c r="F13" i="4"/>
  <c r="E13" i="4"/>
  <c r="D13" i="4"/>
  <c r="C17" i="8"/>
  <c r="C25" i="5"/>
  <c r="E91" i="2"/>
  <c r="E260" i="2"/>
  <c r="C235" i="2"/>
  <c r="D235" i="2"/>
  <c r="D248" i="2" s="1"/>
  <c r="E191" i="2"/>
  <c r="C200" i="2"/>
  <c r="C195" i="2"/>
  <c r="C74" i="2"/>
  <c r="C287" i="2"/>
  <c r="C289" i="2" s="1"/>
  <c r="E289" i="2" s="1"/>
  <c r="E290" i="2" s="1"/>
  <c r="C196" i="2"/>
  <c r="C212" i="2" s="1"/>
  <c r="A42" i="2"/>
  <c r="A43" i="2"/>
  <c r="A44" i="2"/>
  <c r="A45" i="2"/>
  <c r="E58" i="2"/>
  <c r="C82" i="2"/>
  <c r="A119" i="2"/>
  <c r="A127" i="2" s="1"/>
  <c r="A133" i="2" s="1"/>
  <c r="A122" i="2"/>
  <c r="A128" i="2" s="1"/>
  <c r="A134" i="2" s="1"/>
  <c r="E162" i="2"/>
  <c r="E172" i="2"/>
  <c r="E173" i="2"/>
  <c r="E176" i="2"/>
  <c r="E177" i="2"/>
  <c r="E178" i="2"/>
  <c r="E179" i="2"/>
  <c r="E258" i="2"/>
  <c r="E225" i="2"/>
  <c r="E224" i="2"/>
  <c r="E275" i="2"/>
  <c r="E278" i="2"/>
  <c r="E279" i="2"/>
  <c r="E276" i="2"/>
  <c r="E277" i="2"/>
  <c r="C237" i="2" l="1"/>
  <c r="E237" i="2" s="1"/>
  <c r="C253" i="2"/>
  <c r="E253" i="2" s="1"/>
  <c r="F254" i="2" s="1"/>
  <c r="E32" i="2" s="1"/>
  <c r="E97" i="2"/>
  <c r="E98" i="2" s="1"/>
  <c r="C27" i="5"/>
  <c r="C28" i="5" s="1"/>
  <c r="C26" i="5"/>
  <c r="C31" i="8" s="1"/>
  <c r="D194" i="2"/>
  <c r="E194" i="2" s="1"/>
  <c r="D223" i="2"/>
  <c r="E80" i="2"/>
  <c r="E75" i="2"/>
  <c r="E78" i="2"/>
  <c r="E77" i="2"/>
  <c r="C241" i="2"/>
  <c r="E241" i="2" s="1"/>
  <c r="E74" i="2"/>
  <c r="C243" i="2"/>
  <c r="E243" i="2" s="1"/>
  <c r="F280" i="2"/>
  <c r="F282" i="2" s="1"/>
  <c r="E34" i="2" s="1"/>
  <c r="E122" i="2"/>
  <c r="E235" i="2"/>
  <c r="E72" i="2"/>
  <c r="E196" i="2"/>
  <c r="C214" i="2" s="1"/>
  <c r="E119" i="2"/>
  <c r="E46" i="2"/>
  <c r="C127" i="2"/>
  <c r="E127" i="2" s="1"/>
  <c r="E212" i="2"/>
  <c r="E128" i="2"/>
  <c r="D62" i="2"/>
  <c r="E62" i="2" s="1"/>
  <c r="C239" i="2"/>
  <c r="E239" i="2" s="1"/>
  <c r="E287" i="2"/>
  <c r="D288" i="2" s="1"/>
  <c r="E288" i="2" s="1"/>
  <c r="F291" i="2" s="1"/>
  <c r="F293" i="2" s="1"/>
  <c r="E35" i="2" s="1"/>
  <c r="E207" i="2"/>
  <c r="D261" i="2"/>
  <c r="F249" i="2" l="1"/>
  <c r="E120" i="2"/>
  <c r="E121" i="2" s="1"/>
  <c r="F123" i="2" s="1"/>
  <c r="E23" i="2" s="1"/>
  <c r="D65" i="2"/>
  <c r="E261" i="2"/>
  <c r="D262" i="2" s="1"/>
  <c r="E262" i="2" s="1"/>
  <c r="F263" i="2" s="1"/>
  <c r="E33" i="2" s="1"/>
  <c r="C30" i="8"/>
  <c r="C33" i="5"/>
  <c r="C27" i="8" s="1"/>
  <c r="C35" i="8" s="1"/>
  <c r="D195" i="2"/>
  <c r="E195" i="2" s="1"/>
  <c r="E223" i="2"/>
  <c r="D226" i="2" s="1"/>
  <c r="E226" i="2" s="1"/>
  <c r="F227" i="2" s="1"/>
  <c r="E30" i="2" s="1"/>
  <c r="C209" i="2"/>
  <c r="C210" i="2" s="1"/>
  <c r="D211" i="2" s="1"/>
  <c r="E211" i="2" s="1"/>
  <c r="C28" i="8"/>
  <c r="C19" i="8"/>
  <c r="C25" i="8" s="1"/>
  <c r="C34" i="8" s="1"/>
  <c r="D81" i="2"/>
  <c r="E81" i="2" s="1"/>
  <c r="D82" i="2" s="1"/>
  <c r="E82" i="2" s="1"/>
  <c r="F129" i="2"/>
  <c r="E180" i="2"/>
  <c r="F181" i="2" s="1"/>
  <c r="E165" i="2"/>
  <c r="F166" i="2" s="1"/>
  <c r="D199" i="2"/>
  <c r="E199" i="2" s="1"/>
  <c r="D200" i="2" s="1"/>
  <c r="E200" i="2" s="1"/>
  <c r="E22" i="2"/>
  <c r="E31" i="2"/>
  <c r="D99" i="2"/>
  <c r="E24" i="2" l="1"/>
  <c r="C29" i="8"/>
  <c r="C32" i="8" s="1"/>
  <c r="C36" i="8"/>
  <c r="E201" i="2"/>
  <c r="D202" i="2" s="1"/>
  <c r="E202" i="2" s="1"/>
  <c r="F203" i="2" s="1"/>
  <c r="E28" i="2" s="1"/>
  <c r="C215" i="2"/>
  <c r="D216" i="2" s="1"/>
  <c r="E216" i="2" s="1"/>
  <c r="E217" i="2" s="1"/>
  <c r="D218" i="2" s="1"/>
  <c r="E218" i="2" s="1"/>
  <c r="F219" i="2" s="1"/>
  <c r="F183" i="2"/>
  <c r="E25" i="2" s="1"/>
  <c r="E83" i="2"/>
  <c r="C37" i="8" l="1"/>
  <c r="E29" i="2"/>
  <c r="E27" i="2" s="1"/>
  <c r="F270" i="2"/>
  <c r="E26" i="2" s="1"/>
  <c r="D84" i="2"/>
  <c r="C84" i="2" l="1"/>
  <c r="E84" i="2" s="1"/>
  <c r="E85" i="2" s="1"/>
  <c r="D86" i="2" s="1"/>
  <c r="E86" i="2" s="1"/>
  <c r="F87" i="2" s="1"/>
  <c r="E19" i="2" s="1"/>
  <c r="E65" i="2"/>
  <c r="E66" i="2" s="1"/>
  <c r="D67" i="2" s="1"/>
  <c r="E99" i="2"/>
  <c r="E100" i="2" s="1"/>
  <c r="D101" i="2" s="1"/>
  <c r="E101" i="2" s="1"/>
  <c r="E21" i="2" l="1"/>
  <c r="E67" i="2"/>
  <c r="F68" i="2" s="1"/>
  <c r="F102" i="2"/>
  <c r="E18" i="2" l="1"/>
  <c r="F145" i="2"/>
  <c r="F295" i="2" s="1"/>
  <c r="E20" i="2"/>
  <c r="D300" i="2" l="1"/>
  <c r="E300" i="2" s="1"/>
  <c r="F301" i="2" s="1"/>
  <c r="F303" i="2" s="1"/>
  <c r="E36" i="2" s="1"/>
  <c r="E17" i="2"/>
  <c r="E37" i="2" l="1"/>
  <c r="F17" i="2" s="1"/>
  <c r="F306" i="2"/>
  <c r="F23" i="2" l="1"/>
  <c r="F26" i="2"/>
  <c r="F24" i="2"/>
  <c r="F18" i="2"/>
  <c r="F30" i="2"/>
  <c r="F29" i="2"/>
  <c r="F21" i="2"/>
  <c r="F22" i="2"/>
  <c r="F28" i="2"/>
  <c r="F36" i="2"/>
  <c r="F19" i="2"/>
  <c r="F31" i="2"/>
  <c r="F20" i="2"/>
  <c r="F35" i="2"/>
  <c r="F25" i="2"/>
  <c r="F27" i="2"/>
  <c r="F34" i="2"/>
  <c r="F32" i="2"/>
  <c r="F33" i="2"/>
  <c r="F37" i="2" l="1"/>
</calcChain>
</file>

<file path=xl/comments1.xml><?xml version="1.0" encoding="utf-8"?>
<comments xmlns="http://schemas.openxmlformats.org/spreadsheetml/2006/main">
  <authors>
    <author>Clauber Bridi</author>
    <author>Sidnei Jesus Araujo do Amaral</author>
  </authors>
  <commentList>
    <comment ref="A15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9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8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9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8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6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91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2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11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13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14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19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28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33" authorId="0">
      <text>
        <r>
          <rPr>
            <sz val="9"/>
            <color indexed="81"/>
            <rFont val="Tahoma"/>
            <family val="2"/>
          </rPr>
          <t>Informar o valor mensal do beneficio social familiar,  conforme Convenção Coletiva da categoria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39" authorId="0">
      <text>
        <r>
          <rPr>
            <sz val="9"/>
            <color indexed="81"/>
            <rFont val="Tahoma"/>
            <family val="2"/>
          </rPr>
          <t>Informar o anual, pois o mesmo sera dividio por 12 meses, e provisionar /12 avos, conforme Convenção Coletiva da categoria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2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9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91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93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94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6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7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8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9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2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8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4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25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31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6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8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8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40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40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42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42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C244" authorId="1">
      <text>
        <r>
          <rPr>
            <b/>
            <sz val="9"/>
            <color indexed="81"/>
            <rFont val="Tahoma"/>
            <family val="2"/>
          </rPr>
          <t>Preço unitario</t>
        </r>
      </text>
    </comment>
    <comment ref="D244" authorId="0">
      <text>
        <r>
          <rPr>
            <sz val="9"/>
            <color indexed="81"/>
            <rFont val="Tahoma"/>
            <family val="2"/>
          </rPr>
          <t xml:space="preserve">Informar o preço unitário 
</t>
        </r>
      </text>
    </comment>
    <comment ref="C246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46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D253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58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58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59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60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7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84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87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89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300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<sst xmlns="http://schemas.openxmlformats.org/spreadsheetml/2006/main" count="607" uniqueCount="329">
  <si>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</si>
  <si>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</si>
  <si>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</si>
  <si>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</si>
  <si>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</si>
  <si>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</si>
  <si>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</si>
  <si>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</si>
  <si>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</si>
  <si>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</si>
  <si>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</si>
  <si>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</si>
  <si>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</si>
  <si>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</si>
  <si>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</si>
  <si>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</si>
  <si>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</si>
  <si>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</si>
  <si>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</si>
  <si>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</si>
  <si>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</si>
  <si>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</si>
  <si>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</si>
  <si>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</si>
  <si>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</si>
  <si>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</si>
  <si>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</si>
  <si>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</si>
  <si>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</si>
  <si>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</si>
  <si>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</si>
  <si>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</si>
  <si>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</si>
  <si>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</si>
  <si>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</si>
  <si>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</si>
  <si>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</si>
  <si>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</si>
  <si>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</si>
  <si>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</si>
  <si>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</si>
  <si>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</si>
  <si>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</si>
  <si>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</si>
  <si>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</si>
  <si>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</si>
  <si>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</si>
  <si>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</si>
  <si>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</si>
  <si>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</si>
  <si>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</si>
  <si>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</si>
  <si>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</si>
  <si>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</si>
  <si>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</si>
  <si>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</si>
  <si>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</si>
  <si>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</si>
  <si>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</si>
  <si>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</si>
  <si>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</si>
  <si>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</si>
  <si>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</si>
  <si>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</si>
  <si>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</si>
  <si>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</si>
  <si>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</si>
  <si>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</si>
  <si>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</si>
  <si>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</si>
  <si>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</si>
  <si>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</si>
  <si>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</si>
  <si>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</si>
  <si>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</si>
  <si>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</si>
  <si>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</si>
  <si>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</si>
  <si>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</si>
  <si>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</si>
  <si>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</si>
  <si>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</si>
  <si>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</si>
  <si>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</si>
  <si>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</si>
  <si>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</si>
  <si>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</si>
  <si>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</si>
  <si>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</si>
  <si>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</si>
  <si>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</si>
  <si>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</si>
  <si>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</si>
  <si>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</si>
  <si>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</si>
  <si>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</si>
  <si>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</si>
  <si>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</si>
  <si>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</si>
  <si>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</si>
  <si>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</si>
  <si>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</si>
  <si>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</si>
  <si>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</si>
  <si>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</si>
  <si>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</si>
  <si>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</si>
  <si>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</si>
  <si>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</si>
  <si>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</si>
  <si>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</si>
  <si>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</si>
  <si>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</si>
  <si>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</si>
  <si>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</si>
  <si>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</si>
  <si>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</si>
  <si>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</si>
  <si>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</si>
  <si>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</si>
  <si>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</si>
  <si>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</si>
  <si>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</si>
  <si>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</si>
  <si>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</si>
  <si>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</si>
  <si>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</si>
  <si>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</si>
  <si>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</si>
  <si>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</si>
  <si>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</si>
  <si>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</si>
  <si>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</si>
  <si>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</si>
  <si>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</si>
  <si>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</si>
  <si>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</si>
  <si>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</si>
  <si>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</si>
  <si>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</si>
  <si>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</si>
  <si>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</si>
  <si>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</si>
  <si>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</si>
  <si>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</si>
  <si>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</si>
  <si>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</si>
  <si>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</si>
  <si>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</si>
  <si>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</si>
  <si>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</si>
  <si>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</si>
  <si>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</si>
  <si>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</si>
  <si>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</si>
  <si>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</si>
  <si>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</si>
  <si>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</si>
  <si>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</si>
  <si>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</si>
  <si>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</si>
  <si>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</si>
  <si>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</si>
  <si>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</si>
  <si>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</si>
  <si>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</si>
  <si>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</si>
  <si>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</si>
  <si>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</si>
  <si>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</si>
  <si>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</si>
  <si>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</si>
  <si>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</si>
  <si>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</si>
  <si>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</si>
  <si>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</si>
  <si>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</si>
  <si>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</si>
  <si>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</si>
  <si>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</si>
  <si>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</si>
  <si>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</si>
  <si>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</si>
  <si>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</si>
  <si>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</si>
  <si>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</si>
  <si>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</si>
  <si>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</si>
  <si>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</si>
  <si>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</si>
  <si>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</si>
  <si>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</si>
  <si>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</si>
  <si>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</si>
  <si>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</si>
  <si>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</si>
  <si>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</si>
  <si>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</si>
  <si>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</si>
  <si>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</si>
  <si>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</si>
  <si>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</si>
  <si>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</si>
  <si>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</si>
  <si>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</si>
  <si>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</si>
  <si>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</si>
  <si>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</si>
  <si>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</si>
  <si>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</si>
  <si>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</si>
  <si>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</si>
  <si>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</si>
  <si>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</si>
  <si>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</si>
  <si>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</si>
  <si>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</si>
  <si>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</si>
  <si>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</si>
  <si>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</si>
  <si>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</si>
  <si>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</si>
  <si>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</si>
  <si>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</si>
  <si>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</si>
  <si>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</si>
  <si>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</si>
  <si>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</si>
  <si>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</si>
  <si>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</si>
  <si>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</si>
  <si>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</si>
  <si>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</si>
  <si>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</si>
  <si>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</si>
  <si>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</si>
  <si>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</si>
  <si>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</si>
  <si>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</si>
  <si>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</si>
  <si>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</si>
  <si>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</si>
  <si>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</si>
  <si>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</si>
  <si>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</si>
  <si>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</si>
  <si>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</si>
  <si>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</si>
  <si>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</si>
  <si>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</si>
  <si>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</si>
  <si>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</si>
  <si>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</si>
  <si>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</si>
  <si>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</si>
  <si>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</si>
  <si>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</si>
  <si>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</si>
  <si>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</si>
  <si>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</si>
  <si>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</si>
  <si>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</si>
  <si>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</si>
  <si>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</si>
  <si>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</si>
  <si>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</si>
  <si>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</si>
  <si>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</si>
  <si>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</si>
  <si>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</si>
  <si>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</si>
  <si>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</si>
  <si>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</si>
  <si>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</si>
  <si>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</si>
  <si>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</si>
  <si>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</si>
  <si>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</si>
  <si>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</si>
  <si>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</si>
  <si>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</si>
  <si>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</si>
  <si>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</si>
  <si>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</si>
  <si>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</si>
  <si>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</si>
  <si>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</si>
  <si>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</si>
  <si>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</si>
  <si>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</si>
  <si>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</si>
  <si>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</si>
  <si>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</si>
  <si>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</si>
  <si>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Custo de aquisição da gaiola</t>
  </si>
  <si>
    <t>Vida útil da gaiola</t>
  </si>
  <si>
    <t>Idade da gaiola</t>
  </si>
  <si>
    <t>Salário Base Insalubridade (1)</t>
  </si>
  <si>
    <t>Beneficio Social Familiar</t>
  </si>
  <si>
    <t>VALORES OBTIDOS COM BASE NO MERCADO E CONSULTA À BASE DE DADOS DE OUTROS MUNICÍPIOS ( JANEIRO DE SETEMBRO DE 2025)</t>
  </si>
  <si>
    <t>1.8. Plano de Beneficio Social Sindiasseio</t>
  </si>
  <si>
    <t>1.9.Contribuição  Anual Custeio de Ativ. Patronal</t>
  </si>
  <si>
    <t xml:space="preserve">Provisao de Contribuiçao Sindical 1/12 por mês - </t>
  </si>
  <si>
    <t>Custo Anual</t>
  </si>
  <si>
    <t>Calça com Reflexivo</t>
  </si>
  <si>
    <t>Camisa de brim com reflexivo</t>
  </si>
  <si>
    <t>Camiseta com reflexivo</t>
  </si>
  <si>
    <t>Bone</t>
  </si>
  <si>
    <t>Luvas de Proteção</t>
  </si>
  <si>
    <t>Oculos proteção contra radiação solar</t>
  </si>
  <si>
    <t xml:space="preserve">Meia de algodão </t>
  </si>
  <si>
    <t>Custo mensal com Kit de filtros - Caminhões</t>
  </si>
  <si>
    <t>Custo mensal  Kit de filtros sist. Hidrá. compactadores</t>
  </si>
  <si>
    <t>Custo Aditivo Arla/km rodado</t>
  </si>
  <si>
    <t>Custo mensal de Aditivo Arla 32</t>
  </si>
  <si>
    <t>Custo do jogo de pneus 275/80 R22,5</t>
  </si>
  <si>
    <t>3.1.7. Manutenção</t>
  </si>
  <si>
    <t>remuneração</t>
  </si>
  <si>
    <t xml:space="preserve">Depreciação </t>
  </si>
  <si>
    <t xml:space="preserve"> + rem. Cap. Mensal</t>
  </si>
  <si>
    <t xml:space="preserve">Substituição de equipamentos (caminhão reserva não exclusiva) </t>
  </si>
  <si>
    <t>COLETA DE LIXO SOLIDOS - INTERIOR E PRAIA</t>
  </si>
  <si>
    <t>VALORES DE MÃO DE OBRA BASEADO NOS ACORDOS COLETIVOS (2026)</t>
  </si>
  <si>
    <t>Desconto 19% vale coletor</t>
  </si>
  <si>
    <t>Vale liquido Coletor</t>
  </si>
  <si>
    <t>1.9.1 Contribuição  de Custeio a Atividade Patronal</t>
  </si>
  <si>
    <t>1.4. Prêmio Assiduidade Coletores</t>
  </si>
  <si>
    <t>Prêmio Assiduidade Coletores</t>
  </si>
  <si>
    <t>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</si>
</sst>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_ * #,##0.00_ ;_ * \-#,##0.00_ ;_ * &quot;-&quot;??_ ;_ @_ 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  <numFmt numFmtId="174" formatCode="#,##0.00000"/>
    <numFmt numFmtId="175" formatCode="#,##0.000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93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0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66" fontId="1" fillId="0" borderId="0" xfId="3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3" applyNumberFormat="1" applyFont="1" applyBorder="1" applyAlignment="1">
      <alignment horizontal="center" vertical="center"/>
    </xf>
    <xf numFmtId="166" fontId="1" fillId="3" borderId="0" xfId="3" applyFont="1" applyFill="1" applyAlignment="1">
      <alignment vertical="center"/>
    </xf>
    <xf numFmtId="166" fontId="1" fillId="0" borderId="1" xfId="3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7" fontId="1" fillId="0" borderId="1" xfId="3" applyNumberFormat="1" applyFont="1" applyBorder="1" applyAlignment="1">
      <alignment vertical="center"/>
    </xf>
    <xf numFmtId="166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6" fontId="6" fillId="0" borderId="0" xfId="3" applyFont="1" applyFill="1" applyBorder="1" applyAlignment="1">
      <alignment vertical="center"/>
    </xf>
    <xf numFmtId="166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6" fontId="3" fillId="2" borderId="0" xfId="3" applyFont="1" applyFill="1" applyBorder="1" applyAlignment="1">
      <alignment vertical="center"/>
    </xf>
    <xf numFmtId="166" fontId="6" fillId="0" borderId="0" xfId="3" applyFont="1" applyFill="1" applyAlignment="1">
      <alignment horizontal="right" vertical="center"/>
    </xf>
    <xf numFmtId="0" fontId="6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center" vertical="center"/>
    </xf>
    <xf numFmtId="167" fontId="6" fillId="3" borderId="1" xfId="3" applyNumberFormat="1" applyFont="1" applyFill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74" fontId="6" fillId="0" borderId="0" xfId="0" applyNumberFormat="1" applyFont="1" applyAlignment="1">
      <alignment vertical="center"/>
    </xf>
    <xf numFmtId="175" fontId="1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166" fontId="3" fillId="2" borderId="0" xfId="3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7" fontId="6" fillId="0" borderId="0" xfId="3" applyNumberFormat="1" applyFont="1" applyBorder="1" applyAlignment="1">
      <alignment vertical="center"/>
    </xf>
    <xf numFmtId="166" fontId="3" fillId="8" borderId="3" xfId="3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166" fontId="13" fillId="2" borderId="55" xfId="3" applyFont="1" applyFill="1" applyBorder="1" applyAlignment="1">
      <alignment horizontal="center" vertical="center"/>
    </xf>
    <xf numFmtId="166" fontId="13" fillId="2" borderId="11" xfId="3" applyFont="1" applyFill="1" applyBorder="1" applyAlignment="1">
      <alignment horizontal="center" vertical="center"/>
    </xf>
    <xf numFmtId="166" fontId="3" fillId="2" borderId="51" xfId="3" applyFont="1" applyFill="1" applyBorder="1" applyAlignment="1">
      <alignment horizontal="center" vertical="center"/>
    </xf>
    <xf numFmtId="9" fontId="6" fillId="0" borderId="1" xfId="3" applyNumberFormat="1" applyFont="1" applyBorder="1" applyAlignment="1">
      <alignment vertical="center"/>
    </xf>
    <xf numFmtId="164" fontId="6" fillId="0" borderId="1" xfId="3" applyNumberFormat="1" applyFont="1" applyBorder="1" applyAlignment="1">
      <alignment vertical="center"/>
    </xf>
    <xf numFmtId="166" fontId="3" fillId="0" borderId="1" xfId="3" applyFont="1" applyBorder="1" applyAlignment="1">
      <alignment vertical="center"/>
    </xf>
    <xf numFmtId="10" fontId="0" fillId="0" borderId="0" xfId="0" applyNumberFormat="1"/>
    <xf numFmtId="166" fontId="6" fillId="0" borderId="1" xfId="3" applyFont="1" applyBorder="1" applyAlignment="1">
      <alignment horizontal="right" vertical="center"/>
    </xf>
    <xf numFmtId="166" fontId="6" fillId="0" borderId="2" xfId="3" applyFont="1" applyFill="1" applyBorder="1" applyAlignment="1">
      <alignment vertical="center"/>
    </xf>
    <xf numFmtId="166" fontId="3" fillId="0" borderId="51" xfId="3" applyFont="1" applyFill="1" applyBorder="1" applyAlignment="1">
      <alignment vertical="center"/>
    </xf>
    <xf numFmtId="166" fontId="3" fillId="0" borderId="1" xfId="3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42"/>
  <sheetViews>
    <sheetView tabSelected="1" view="pageBreakPreview" topLeftCell="A49" zoomScaleNormal="100" zoomScaleSheetLayoutView="100" workbookViewId="0">
      <selection activeCell="E93" sqref="E93"/>
    </sheetView>
  </sheetViews>
  <sheetFormatPr defaultRowHeight="12.75" x14ac:dyDescent="0.2"/>
  <cols>
    <col min="1" max="1" width="47.42578125" style="9" customWidth="1"/>
    <col min="2" max="2" width="16" style="9" bestFit="1" customWidth="1"/>
    <col min="3" max="3" width="11.85546875" style="9" customWidth="1"/>
    <col min="4" max="4" width="20" style="10" customWidth="1"/>
    <col min="5" max="5" width="15.42578125" style="10" customWidth="1"/>
    <col min="6" max="6" width="22.57031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9" ht="15.75" x14ac:dyDescent="0.2">
      <c r="A1" s="293"/>
    </row>
    <row r="2" spans="1:9" ht="15.75" x14ac:dyDescent="0.2">
      <c r="A2" s="296"/>
    </row>
    <row r="3" spans="1:9" ht="15.75" x14ac:dyDescent="0.2">
      <c r="A3" s="296"/>
    </row>
    <row r="4" spans="1:9" ht="15.75" x14ac:dyDescent="0.2">
      <c r="A4" s="296"/>
    </row>
    <row r="5" spans="1:9" s="4" customFormat="1" ht="15.6" customHeight="1" x14ac:dyDescent="0.2">
      <c r="A5" s="295"/>
      <c r="C5" s="134"/>
      <c r="D5" s="134"/>
      <c r="E5" s="134"/>
      <c r="F5" s="134"/>
      <c r="G5" s="6"/>
    </row>
    <row r="6" spans="1:9" s="4" customFormat="1" ht="15.6" customHeight="1" x14ac:dyDescent="0.2">
      <c r="A6" s="294"/>
      <c r="B6" s="134"/>
      <c r="C6" s="134"/>
      <c r="D6" s="134"/>
      <c r="E6" s="134"/>
      <c r="F6" s="134"/>
      <c r="G6" s="6"/>
    </row>
    <row r="7" spans="1:9" s="4" customFormat="1" ht="15.6" customHeight="1" x14ac:dyDescent="0.2">
      <c r="A7" s="356" t="s">
        <v>321</v>
      </c>
      <c r="B7" s="356"/>
      <c r="C7" s="356"/>
      <c r="D7" s="356"/>
      <c r="E7" s="356"/>
      <c r="F7" s="356"/>
      <c r="G7" s="6"/>
    </row>
    <row r="8" spans="1:9" s="4" customFormat="1" ht="15.6" customHeight="1" x14ac:dyDescent="0.2">
      <c r="A8" s="356"/>
      <c r="B8" s="356"/>
      <c r="C8" s="356"/>
      <c r="D8" s="356"/>
      <c r="E8" s="356"/>
      <c r="F8" s="356"/>
      <c r="G8" s="6"/>
    </row>
    <row r="9" spans="1:9" s="4" customFormat="1" ht="15.6" customHeight="1" x14ac:dyDescent="0.2">
      <c r="A9" s="321" t="s">
        <v>299</v>
      </c>
      <c r="B9" s="322"/>
      <c r="C9" s="322"/>
      <c r="D9" s="322"/>
      <c r="E9" s="322"/>
      <c r="F9" s="322"/>
      <c r="G9" s="319"/>
      <c r="H9" s="320"/>
      <c r="I9" s="320"/>
    </row>
    <row r="10" spans="1:9" s="4" customFormat="1" ht="15.6" customHeight="1" x14ac:dyDescent="0.2">
      <c r="A10" s="373" t="s">
        <v>322</v>
      </c>
      <c r="B10" s="373"/>
      <c r="C10" s="373"/>
      <c r="D10" s="373"/>
      <c r="E10" s="373"/>
      <c r="F10" s="373"/>
      <c r="G10" s="319"/>
      <c r="H10" s="320"/>
      <c r="I10" s="320"/>
    </row>
    <row r="11" spans="1:9" s="4" customFormat="1" ht="16.5" customHeight="1" thickBot="1" x14ac:dyDescent="0.25">
      <c r="A11" s="7"/>
      <c r="B11" s="5"/>
      <c r="C11" s="5"/>
      <c r="D11" s="6"/>
      <c r="E11" s="6"/>
      <c r="F11" s="6"/>
      <c r="G11" s="6"/>
    </row>
    <row r="12" spans="1:9" s="8" customFormat="1" ht="18" x14ac:dyDescent="0.2">
      <c r="A12" s="361" t="s">
        <v>217</v>
      </c>
      <c r="B12" s="362"/>
      <c r="C12" s="362"/>
      <c r="D12" s="362"/>
      <c r="E12" s="362"/>
      <c r="F12" s="363"/>
      <c r="G12" s="36"/>
    </row>
    <row r="13" spans="1:9" s="8" customFormat="1" ht="21.75" customHeight="1" x14ac:dyDescent="0.2">
      <c r="A13" s="364" t="s">
        <v>39</v>
      </c>
      <c r="B13" s="365"/>
      <c r="C13" s="365"/>
      <c r="D13" s="365"/>
      <c r="E13" s="365"/>
      <c r="F13" s="366"/>
      <c r="G13" s="36"/>
    </row>
    <row r="14" spans="1:9" s="4" customFormat="1" ht="10.9" customHeight="1" thickBot="1" x14ac:dyDescent="0.25">
      <c r="A14" s="146"/>
      <c r="B14" s="147"/>
      <c r="C14" s="147"/>
      <c r="D14" s="148"/>
      <c r="E14" s="148"/>
      <c r="F14" s="149"/>
      <c r="G14" s="6"/>
    </row>
    <row r="15" spans="1:9" s="4" customFormat="1" ht="15.75" customHeight="1" thickBot="1" x14ac:dyDescent="0.25">
      <c r="A15" s="370" t="s">
        <v>202</v>
      </c>
      <c r="B15" s="371"/>
      <c r="C15" s="371"/>
      <c r="D15" s="371"/>
      <c r="E15" s="371"/>
      <c r="F15" s="372"/>
      <c r="G15" s="6"/>
    </row>
    <row r="16" spans="1:9" s="4" customFormat="1" ht="15.75" customHeight="1" x14ac:dyDescent="0.2">
      <c r="A16" s="63" t="s">
        <v>201</v>
      </c>
      <c r="B16" s="39"/>
      <c r="C16" s="39"/>
      <c r="D16" s="250"/>
      <c r="E16" s="111" t="s">
        <v>34</v>
      </c>
      <c r="F16" s="40" t="s">
        <v>2</v>
      </c>
      <c r="G16" s="6"/>
    </row>
    <row r="17" spans="1:7" s="11" customFormat="1" ht="15.75" customHeight="1" x14ac:dyDescent="0.2">
      <c r="A17" s="121" t="str">
        <f>A54</f>
        <v>1. Mão-de-obra</v>
      </c>
      <c r="B17" s="122"/>
      <c r="C17" s="123"/>
      <c r="D17" s="123"/>
      <c r="E17" s="247">
        <f>+F145</f>
        <v>31332.033178151025</v>
      </c>
      <c r="F17" s="124">
        <f>IFERROR(E17/$E$37,0)</f>
        <v>0.41439035912913319</v>
      </c>
      <c r="G17" s="43"/>
    </row>
    <row r="18" spans="1:7" s="4" customFormat="1" ht="15.75" customHeight="1" x14ac:dyDescent="0.2">
      <c r="A18" s="48" t="str">
        <f>A56</f>
        <v>1.1. Coletor Turno Dia</v>
      </c>
      <c r="B18" s="44"/>
      <c r="C18" s="46"/>
      <c r="D18" s="46"/>
      <c r="E18" s="248">
        <f>F68</f>
        <v>22955.67146439747</v>
      </c>
      <c r="F18" s="57">
        <f>IFERROR(E18/$E$37,0)</f>
        <v>0.3036065003536238</v>
      </c>
      <c r="G18" s="6"/>
    </row>
    <row r="19" spans="1:7" s="4" customFormat="1" ht="15.75" customHeight="1" x14ac:dyDescent="0.2">
      <c r="A19" s="48" t="str">
        <f>A70</f>
        <v>1.2. Coletor Turno Noite</v>
      </c>
      <c r="B19" s="44"/>
      <c r="C19" s="46"/>
      <c r="D19" s="46"/>
      <c r="E19" s="248">
        <f>F87</f>
        <v>0</v>
      </c>
      <c r="F19" s="57">
        <f t="shared" ref="F19:F36" si="0">IFERROR(E19/$E$37,0)</f>
        <v>0</v>
      </c>
      <c r="G19" s="6"/>
    </row>
    <row r="20" spans="1:7" s="4" customFormat="1" ht="15.75" customHeight="1" x14ac:dyDescent="0.2">
      <c r="A20" s="48" t="str">
        <f>A89</f>
        <v>1.3. Motorista Turno do Dia</v>
      </c>
      <c r="B20" s="44"/>
      <c r="C20" s="46"/>
      <c r="D20" s="46"/>
      <c r="E20" s="248">
        <f>F102</f>
        <v>6216.102047086888</v>
      </c>
      <c r="F20" s="57">
        <f t="shared" si="0"/>
        <v>8.2212754755792219E-2</v>
      </c>
      <c r="G20" s="6"/>
    </row>
    <row r="21" spans="1:7" s="4" customFormat="1" ht="15.75" customHeight="1" x14ac:dyDescent="0.2">
      <c r="A21" s="48" t="str">
        <f>A104</f>
        <v>1.4. Prêmio Assiduidade Coletores</v>
      </c>
      <c r="B21" s="44"/>
      <c r="C21" s="46"/>
      <c r="D21" s="46"/>
      <c r="E21" s="248">
        <f>F107</f>
        <v>160</v>
      </c>
      <c r="F21" s="57">
        <f t="shared" si="0"/>
        <v>2.1161236835053666E-3</v>
      </c>
      <c r="G21" s="6"/>
    </row>
    <row r="22" spans="1:7" s="4" customFormat="1" ht="15.75" customHeight="1" x14ac:dyDescent="0.2">
      <c r="A22" s="48" t="str">
        <f>A109</f>
        <v>1.5. Vale Transporte</v>
      </c>
      <c r="B22" s="44"/>
      <c r="C22" s="46"/>
      <c r="D22" s="46"/>
      <c r="E22" s="248">
        <f>F115</f>
        <v>0</v>
      </c>
      <c r="F22" s="57">
        <f t="shared" si="0"/>
        <v>0</v>
      </c>
      <c r="G22" s="6"/>
    </row>
    <row r="23" spans="1:7" s="4" customFormat="1" ht="15.75" customHeight="1" x14ac:dyDescent="0.2">
      <c r="A23" s="48" t="str">
        <f>A117</f>
        <v>1.6. Vale-refeição (diário)</v>
      </c>
      <c r="B23" s="44"/>
      <c r="C23" s="46"/>
      <c r="D23" s="46"/>
      <c r="E23" s="248">
        <f>F123</f>
        <v>1721.643</v>
      </c>
      <c r="F23" s="57">
        <f t="shared" si="0"/>
        <v>2.2770059542757688E-2</v>
      </c>
      <c r="G23" s="6"/>
    </row>
    <row r="24" spans="1:7" s="4" customFormat="1" ht="15.75" customHeight="1" x14ac:dyDescent="0.2">
      <c r="A24" s="48" t="str">
        <f>A125</f>
        <v>1.7. Auxílio Alimentação (mensal)</v>
      </c>
      <c r="B24" s="44"/>
      <c r="C24" s="46"/>
      <c r="D24" s="46"/>
      <c r="E24" s="248">
        <f>F129</f>
        <v>0</v>
      </c>
      <c r="F24" s="57">
        <f t="shared" si="0"/>
        <v>0</v>
      </c>
      <c r="G24" s="6"/>
    </row>
    <row r="25" spans="1:7" s="11" customFormat="1" ht="15.75" customHeight="1" x14ac:dyDescent="0.2">
      <c r="A25" s="359" t="str">
        <f>A147</f>
        <v>2. Uniformes e Equipamentos de Proteção Individual</v>
      </c>
      <c r="B25" s="360"/>
      <c r="C25" s="360"/>
      <c r="D25" s="123"/>
      <c r="E25" s="247">
        <f>+F183</f>
        <v>1899.9870000000001</v>
      </c>
      <c r="F25" s="124">
        <f t="shared" si="0"/>
        <v>2.5128796806576946E-2</v>
      </c>
      <c r="G25" s="43"/>
    </row>
    <row r="26" spans="1:7" s="11" customFormat="1" ht="15.75" customHeight="1" x14ac:dyDescent="0.2">
      <c r="A26" s="132" t="str">
        <f>A185</f>
        <v>3. Veículos e Equipamentos</v>
      </c>
      <c r="B26" s="133"/>
      <c r="C26" s="123"/>
      <c r="D26" s="123"/>
      <c r="E26" s="247">
        <f>+F270</f>
        <v>26035.364481953726</v>
      </c>
      <c r="F26" s="124">
        <f t="shared" si="0"/>
        <v>0.34433782118097944</v>
      </c>
      <c r="G26" s="43"/>
    </row>
    <row r="27" spans="1:7" s="4" customFormat="1" ht="15.75" customHeight="1" x14ac:dyDescent="0.2">
      <c r="A27" s="64" t="str">
        <f>A187</f>
        <v xml:space="preserve">3.1. Veículo Coletor  </v>
      </c>
      <c r="B27" s="45"/>
      <c r="C27" s="46"/>
      <c r="D27" s="46"/>
      <c r="E27" s="248">
        <f>SUM(E28:E33)</f>
        <v>25839.063481953726</v>
      </c>
      <c r="F27" s="139">
        <f t="shared" si="0"/>
        <v>0.34174158871100579</v>
      </c>
      <c r="G27" s="6"/>
    </row>
    <row r="28" spans="1:7" s="4" customFormat="1" ht="15.75" customHeight="1" x14ac:dyDescent="0.2">
      <c r="A28" s="64" t="str">
        <f>A189</f>
        <v>3.1.1. Depreciação</v>
      </c>
      <c r="B28" s="45"/>
      <c r="C28" s="46"/>
      <c r="D28" s="46"/>
      <c r="E28" s="248">
        <f>F203</f>
        <v>2443.4147782000005</v>
      </c>
      <c r="F28" s="139">
        <f t="shared" si="0"/>
        <v>3.231604925485021E-2</v>
      </c>
      <c r="G28" s="6"/>
    </row>
    <row r="29" spans="1:7" s="4" customFormat="1" ht="15.75" customHeight="1" x14ac:dyDescent="0.2">
      <c r="A29" s="64" t="str">
        <f>A205</f>
        <v>3.1.2. Remuneração do Capital</v>
      </c>
      <c r="B29" s="45"/>
      <c r="C29" s="46"/>
      <c r="D29" s="46"/>
      <c r="E29" s="248">
        <f>F219</f>
        <v>6992.140538276667</v>
      </c>
      <c r="F29" s="139">
        <f t="shared" si="0"/>
        <v>9.2476463696532618E-2</v>
      </c>
      <c r="G29" s="6"/>
    </row>
    <row r="30" spans="1:7" s="4" customFormat="1" ht="15.75" customHeight="1" x14ac:dyDescent="0.2">
      <c r="A30" s="64" t="str">
        <f>A221</f>
        <v>3.1.3. Impostos e Seguros</v>
      </c>
      <c r="B30" s="45"/>
      <c r="C30" s="46"/>
      <c r="D30" s="46"/>
      <c r="E30" s="248">
        <f>F227</f>
        <v>1121.3579666666669</v>
      </c>
      <c r="F30" s="139">
        <f t="shared" si="0"/>
        <v>1.4830825943442223E-2</v>
      </c>
      <c r="G30" s="6"/>
    </row>
    <row r="31" spans="1:7" s="4" customFormat="1" ht="15.75" customHeight="1" x14ac:dyDescent="0.2">
      <c r="A31" s="64" t="str">
        <f>A229</f>
        <v>3.1.4. Consumos</v>
      </c>
      <c r="B31" s="45"/>
      <c r="C31" s="46"/>
      <c r="D31" s="46"/>
      <c r="E31" s="248">
        <f>F249</f>
        <v>11341.175091381818</v>
      </c>
      <c r="F31" s="139">
        <f t="shared" si="0"/>
        <v>0.14999580756033878</v>
      </c>
      <c r="G31" s="6"/>
    </row>
    <row r="32" spans="1:7" s="4" customFormat="1" ht="15.75" customHeight="1" x14ac:dyDescent="0.2">
      <c r="A32" s="64" t="str">
        <f>A251</f>
        <v>3.1.5. Manutenção</v>
      </c>
      <c r="B32" s="45"/>
      <c r="C32" s="46"/>
      <c r="D32" s="46"/>
      <c r="E32" s="248">
        <f>F254</f>
        <v>3500.8799999999997</v>
      </c>
      <c r="F32" s="139">
        <f t="shared" si="0"/>
        <v>4.6301844256939173E-2</v>
      </c>
      <c r="G32" s="6"/>
    </row>
    <row r="33" spans="1:7" s="4" customFormat="1" ht="15.75" customHeight="1" x14ac:dyDescent="0.2">
      <c r="A33" s="64" t="str">
        <f>A256</f>
        <v>3.1.6. Pneus</v>
      </c>
      <c r="B33" s="45"/>
      <c r="C33" s="46"/>
      <c r="D33" s="46"/>
      <c r="E33" s="248">
        <f>F263</f>
        <v>440.09510742857145</v>
      </c>
      <c r="F33" s="139">
        <f t="shared" si="0"/>
        <v>5.820597998902742E-3</v>
      </c>
      <c r="G33" s="6"/>
    </row>
    <row r="34" spans="1:7" s="11" customFormat="1" ht="15.75" customHeight="1" x14ac:dyDescent="0.2">
      <c r="A34" s="132" t="str">
        <f>A272</f>
        <v>4. Ferramentas e Materiais de Consumo</v>
      </c>
      <c r="B34" s="133"/>
      <c r="C34" s="123"/>
      <c r="D34" s="123"/>
      <c r="E34" s="247">
        <f>+F282</f>
        <v>50.55</v>
      </c>
      <c r="F34" s="124">
        <f t="shared" si="0"/>
        <v>6.6856282625747676E-4</v>
      </c>
      <c r="G34" s="43"/>
    </row>
    <row r="35" spans="1:7" s="11" customFormat="1" ht="15.75" customHeight="1" x14ac:dyDescent="0.2">
      <c r="A35" s="132" t="str">
        <f>A284</f>
        <v>5. Monitoramento da Frota</v>
      </c>
      <c r="B35" s="133"/>
      <c r="C35" s="123"/>
      <c r="D35" s="123"/>
      <c r="E35" s="247">
        <f>+F293</f>
        <v>137.87033333333335</v>
      </c>
      <c r="F35" s="124">
        <f t="shared" si="0"/>
        <v>1.8234417351215382E-3</v>
      </c>
      <c r="G35" s="43"/>
    </row>
    <row r="36" spans="1:7" s="11" customFormat="1" ht="15.75" customHeight="1" thickBot="1" x14ac:dyDescent="0.25">
      <c r="A36" s="132" t="str">
        <f>A297</f>
        <v>6. Benefícios e Despesas Indiretas - BDI</v>
      </c>
      <c r="B36" s="133"/>
      <c r="C36" s="123"/>
      <c r="D36" s="123"/>
      <c r="E36" s="249">
        <f>+F303</f>
        <v>16154.142216717131</v>
      </c>
      <c r="F36" s="124">
        <f t="shared" si="0"/>
        <v>0.21365101832193129</v>
      </c>
      <c r="G36" s="43"/>
    </row>
    <row r="37" spans="1:7" s="4" customFormat="1" ht="15.75" customHeight="1" thickBot="1" x14ac:dyDescent="0.25">
      <c r="A37" s="41" t="s">
        <v>237</v>
      </c>
      <c r="B37" s="42"/>
      <c r="C37" s="26"/>
      <c r="D37" s="26"/>
      <c r="E37" s="110">
        <f>E17+E25+E26+E34+E35+E36</f>
        <v>75609.947210155224</v>
      </c>
      <c r="F37" s="138">
        <f>F17+F25+F26+F34+F35+F36</f>
        <v>0.99999999999999978</v>
      </c>
      <c r="G37" s="6"/>
    </row>
    <row r="39" spans="1:7" ht="13.5" thickBot="1" x14ac:dyDescent="0.25"/>
    <row r="40" spans="1:7" s="4" customFormat="1" ht="15" customHeight="1" thickBot="1" x14ac:dyDescent="0.25">
      <c r="A40" s="370" t="s">
        <v>95</v>
      </c>
      <c r="B40" s="371"/>
      <c r="C40" s="371"/>
      <c r="D40" s="371"/>
      <c r="E40" s="372"/>
      <c r="F40" s="10"/>
      <c r="G40" s="6"/>
    </row>
    <row r="41" spans="1:7" s="4" customFormat="1" ht="15" customHeight="1" thickBot="1" x14ac:dyDescent="0.25">
      <c r="A41" s="367" t="s">
        <v>35</v>
      </c>
      <c r="B41" s="368"/>
      <c r="C41" s="368"/>
      <c r="D41" s="369"/>
      <c r="E41" s="47" t="s">
        <v>36</v>
      </c>
      <c r="F41" s="10"/>
      <c r="G41" s="6"/>
    </row>
    <row r="42" spans="1:7" s="4" customFormat="1" ht="15" customHeight="1" x14ac:dyDescent="0.2">
      <c r="A42" s="72" t="str">
        <f>+A56</f>
        <v>1.1. Coletor Turno Dia</v>
      </c>
      <c r="B42" s="73"/>
      <c r="C42" s="73"/>
      <c r="D42" s="74"/>
      <c r="E42" s="75">
        <v>2</v>
      </c>
      <c r="F42" s="10"/>
      <c r="G42" s="6"/>
    </row>
    <row r="43" spans="1:7" s="4" customFormat="1" ht="15" customHeight="1" x14ac:dyDescent="0.2">
      <c r="A43" s="66" t="str">
        <f>+A70</f>
        <v>1.2. Coletor Turno Noite</v>
      </c>
      <c r="B43" s="65"/>
      <c r="C43" s="65"/>
      <c r="D43" s="76"/>
      <c r="E43" s="69">
        <f>C86</f>
        <v>0</v>
      </c>
      <c r="F43" s="10"/>
      <c r="G43" s="6"/>
    </row>
    <row r="44" spans="1:7" s="4" customFormat="1" ht="15" customHeight="1" x14ac:dyDescent="0.2">
      <c r="A44" s="66" t="str">
        <f>+A89</f>
        <v>1.3. Motorista Turno do Dia</v>
      </c>
      <c r="B44" s="65"/>
      <c r="C44" s="65"/>
      <c r="D44" s="76"/>
      <c r="E44" s="69">
        <v>1</v>
      </c>
      <c r="F44" s="10"/>
      <c r="G44" s="6"/>
    </row>
    <row r="45" spans="1:7" s="4" customFormat="1" ht="15" customHeight="1" x14ac:dyDescent="0.2">
      <c r="A45" s="66" t="str">
        <f>+A104</f>
        <v>1.4. Prêmio Assiduidade Coletores</v>
      </c>
      <c r="B45" s="65"/>
      <c r="C45" s="65"/>
      <c r="D45" s="76"/>
      <c r="E45" s="69">
        <f>C106</f>
        <v>2</v>
      </c>
      <c r="F45" s="10"/>
      <c r="G45" s="6"/>
    </row>
    <row r="46" spans="1:7" s="4" customFormat="1" ht="15" customHeight="1" thickBot="1" x14ac:dyDescent="0.25">
      <c r="A46" s="70" t="s">
        <v>55</v>
      </c>
      <c r="B46" s="71"/>
      <c r="C46" s="71"/>
      <c r="D46" s="77"/>
      <c r="E46" s="78">
        <f>SUM(E42:E45)</f>
        <v>5</v>
      </c>
      <c r="F46" s="10"/>
      <c r="G46" s="6"/>
    </row>
    <row r="47" spans="1:7" s="4" customFormat="1" ht="15" customHeight="1" thickBot="1" x14ac:dyDescent="0.25">
      <c r="A47" s="125"/>
      <c r="B47" s="126"/>
      <c r="C47" s="58"/>
      <c r="D47" s="58"/>
      <c r="E47" s="127"/>
      <c r="F47" s="10"/>
      <c r="G47" s="6"/>
    </row>
    <row r="48" spans="1:7" s="4" customFormat="1" ht="15" customHeight="1" x14ac:dyDescent="0.2">
      <c r="A48" s="357" t="s">
        <v>52</v>
      </c>
      <c r="B48" s="358"/>
      <c r="C48" s="358"/>
      <c r="D48" s="358"/>
      <c r="E48" s="47" t="s">
        <v>36</v>
      </c>
      <c r="F48" s="9"/>
      <c r="G48" s="6"/>
    </row>
    <row r="49" spans="1:7" s="4" customFormat="1" ht="15" customHeight="1" thickBot="1" x14ac:dyDescent="0.25">
      <c r="A49" s="128" t="str">
        <f>+A187</f>
        <v xml:space="preserve">3.1. Veículo Coletor  </v>
      </c>
      <c r="B49" s="129"/>
      <c r="C49" s="129"/>
      <c r="D49" s="130"/>
      <c r="E49" s="131">
        <f>C202</f>
        <v>1</v>
      </c>
      <c r="F49" s="9"/>
      <c r="G49" s="6"/>
    </row>
    <row r="50" spans="1:7" s="4" customFormat="1" ht="15" customHeight="1" x14ac:dyDescent="0.2">
      <c r="A50" s="58"/>
      <c r="B50" s="58"/>
      <c r="C50" s="58"/>
      <c r="D50" s="53"/>
      <c r="E50" s="246"/>
      <c r="F50" s="9"/>
      <c r="G50" s="6"/>
    </row>
    <row r="51" spans="1:7" s="4" customFormat="1" ht="13.5" thickBot="1" x14ac:dyDescent="0.25">
      <c r="A51" s="58"/>
      <c r="B51" s="58"/>
      <c r="C51" s="58"/>
      <c r="D51" s="53"/>
      <c r="E51" s="67"/>
      <c r="F51" s="9"/>
      <c r="G51" s="6"/>
    </row>
    <row r="52" spans="1:7" s="11" customFormat="1" ht="15.75" customHeight="1" thickBot="1" x14ac:dyDescent="0.25">
      <c r="A52" s="251" t="s">
        <v>196</v>
      </c>
      <c r="B52" s="252">
        <v>1.1000000000000001</v>
      </c>
      <c r="C52" s="35"/>
      <c r="D52" s="34"/>
      <c r="E52" s="151"/>
      <c r="G52" s="43"/>
    </row>
    <row r="53" spans="1:7" s="4" customFormat="1" ht="15.75" customHeight="1" x14ac:dyDescent="0.2">
      <c r="A53" s="58"/>
      <c r="B53" s="58"/>
      <c r="C53" s="58"/>
      <c r="D53" s="53"/>
      <c r="E53" s="67"/>
      <c r="F53" s="9"/>
      <c r="G53" s="6"/>
    </row>
    <row r="54" spans="1:7" ht="13.15" customHeight="1" x14ac:dyDescent="0.2">
      <c r="A54" s="11" t="s">
        <v>43</v>
      </c>
    </row>
    <row r="55" spans="1:7" ht="11.25" customHeight="1" x14ac:dyDescent="0.2"/>
    <row r="56" spans="1:7" ht="13.9" customHeight="1" thickBot="1" x14ac:dyDescent="0.25">
      <c r="A56" s="9" t="s">
        <v>98</v>
      </c>
    </row>
    <row r="57" spans="1:7" ht="13.9" customHeight="1" thickBot="1" x14ac:dyDescent="0.25">
      <c r="A57" s="59" t="s">
        <v>60</v>
      </c>
      <c r="B57" s="60" t="s">
        <v>61</v>
      </c>
      <c r="C57" s="60" t="s">
        <v>36</v>
      </c>
      <c r="D57" s="61" t="s">
        <v>233</v>
      </c>
      <c r="E57" s="61" t="s">
        <v>62</v>
      </c>
      <c r="F57" s="62" t="s">
        <v>63</v>
      </c>
    </row>
    <row r="58" spans="1:7" ht="13.15" customHeight="1" x14ac:dyDescent="0.2">
      <c r="A58" s="13" t="s">
        <v>210</v>
      </c>
      <c r="B58" s="14" t="s">
        <v>8</v>
      </c>
      <c r="C58" s="14">
        <v>2</v>
      </c>
      <c r="D58" s="86">
        <v>2082.31</v>
      </c>
      <c r="E58" s="15">
        <f>C58*D58</f>
        <v>4164.62</v>
      </c>
    </row>
    <row r="59" spans="1:7" x14ac:dyDescent="0.2">
      <c r="A59" s="16" t="s">
        <v>30</v>
      </c>
      <c r="B59" s="17" t="s">
        <v>0</v>
      </c>
      <c r="C59" s="87">
        <v>7.33</v>
      </c>
      <c r="D59" s="18">
        <f>D58/220*2</f>
        <v>18.930090909090907</v>
      </c>
      <c r="E59" s="18">
        <f>C59*D59</f>
        <v>138.75756636363636</v>
      </c>
      <c r="G59" s="10" t="s">
        <v>246</v>
      </c>
    </row>
    <row r="60" spans="1:7" ht="13.15" customHeight="1" x14ac:dyDescent="0.2">
      <c r="A60" s="16" t="s">
        <v>31</v>
      </c>
      <c r="B60" s="17" t="s">
        <v>0</v>
      </c>
      <c r="C60" s="87">
        <v>0</v>
      </c>
      <c r="D60" s="18">
        <f>D58/220*1.5</f>
        <v>14.19756818181818</v>
      </c>
      <c r="E60" s="18">
        <f>C60*D60</f>
        <v>0</v>
      </c>
      <c r="G60" s="10" t="s">
        <v>248</v>
      </c>
    </row>
    <row r="61" spans="1:7" ht="13.15" customHeight="1" x14ac:dyDescent="0.2">
      <c r="A61" s="16" t="s">
        <v>214</v>
      </c>
      <c r="B61" s="17" t="s">
        <v>29</v>
      </c>
      <c r="D61" s="18">
        <f>63/302*(SUM(E59:E60))</f>
        <v>28.946114837447322</v>
      </c>
      <c r="E61" s="18">
        <f>D61</f>
        <v>28.946114837447322</v>
      </c>
      <c r="G61" s="10" t="s">
        <v>213</v>
      </c>
    </row>
    <row r="62" spans="1:7" x14ac:dyDescent="0.2">
      <c r="A62" s="16" t="s">
        <v>1</v>
      </c>
      <c r="B62" s="17" t="s">
        <v>2</v>
      </c>
      <c r="C62" s="17">
        <v>40</v>
      </c>
      <c r="D62" s="82">
        <f>SUM(E58:E61)</f>
        <v>4332.3236812010837</v>
      </c>
      <c r="E62" s="18">
        <f>C62*D62/100</f>
        <v>1732.9294724804336</v>
      </c>
    </row>
    <row r="63" spans="1:7" x14ac:dyDescent="0.2">
      <c r="A63" s="317" t="s">
        <v>298</v>
      </c>
      <c r="B63" s="17"/>
      <c r="C63" s="17">
        <v>2</v>
      </c>
      <c r="D63" s="82">
        <v>25.52</v>
      </c>
      <c r="E63" s="18">
        <f>C63*D63</f>
        <v>51.04</v>
      </c>
    </row>
    <row r="64" spans="1:7" x14ac:dyDescent="0.2">
      <c r="A64" s="112" t="s">
        <v>3</v>
      </c>
      <c r="B64" s="99"/>
      <c r="C64" s="99"/>
      <c r="D64" s="100"/>
      <c r="E64" s="100">
        <f>SUM(E58:E63)</f>
        <v>6116.2931536815167</v>
      </c>
    </row>
    <row r="65" spans="1:7" x14ac:dyDescent="0.2">
      <c r="A65" s="16" t="s">
        <v>4</v>
      </c>
      <c r="B65" s="17" t="s">
        <v>2</v>
      </c>
      <c r="C65" s="136">
        <v>70.599999999999994</v>
      </c>
      <c r="D65" s="18">
        <f>E64</f>
        <v>6116.2931536815167</v>
      </c>
      <c r="E65" s="18">
        <f>D65*C65/100</f>
        <v>4318.1029664991502</v>
      </c>
    </row>
    <row r="66" spans="1:7" x14ac:dyDescent="0.2">
      <c r="A66" s="112" t="s">
        <v>69</v>
      </c>
      <c r="B66" s="113"/>
      <c r="C66" s="113"/>
      <c r="D66" s="114"/>
      <c r="E66" s="115">
        <f>E64+E65</f>
        <v>10434.396120180667</v>
      </c>
    </row>
    <row r="67" spans="1:7" ht="13.5" thickBot="1" x14ac:dyDescent="0.25">
      <c r="A67" s="16" t="s">
        <v>5</v>
      </c>
      <c r="B67" s="17" t="s">
        <v>6</v>
      </c>
      <c r="C67" s="85">
        <v>2</v>
      </c>
      <c r="D67" s="18">
        <f>E66</f>
        <v>10434.396120180667</v>
      </c>
      <c r="E67" s="18">
        <f>C67*D67</f>
        <v>20868.792240361334</v>
      </c>
      <c r="G67" s="6"/>
    </row>
    <row r="68" spans="1:7" ht="13.9" customHeight="1" thickBot="1" x14ac:dyDescent="0.25">
      <c r="D68" s="119" t="s">
        <v>195</v>
      </c>
      <c r="E68" s="49">
        <f>$B$52</f>
        <v>1.1000000000000001</v>
      </c>
      <c r="F68" s="120">
        <f>E67*E68</f>
        <v>22955.67146439747</v>
      </c>
      <c r="G68" s="6"/>
    </row>
    <row r="69" spans="1:7" ht="11.25" customHeight="1" x14ac:dyDescent="0.2"/>
    <row r="70" spans="1:7" ht="13.5" thickBot="1" x14ac:dyDescent="0.25">
      <c r="A70" s="9" t="s">
        <v>88</v>
      </c>
    </row>
    <row r="71" spans="1:7" ht="13.5" thickBot="1" x14ac:dyDescent="0.25">
      <c r="A71" s="59" t="s">
        <v>60</v>
      </c>
      <c r="B71" s="60" t="s">
        <v>61</v>
      </c>
      <c r="C71" s="60" t="s">
        <v>36</v>
      </c>
      <c r="D71" s="61" t="s">
        <v>233</v>
      </c>
      <c r="E71" s="61" t="s">
        <v>62</v>
      </c>
      <c r="F71" s="62" t="s">
        <v>63</v>
      </c>
    </row>
    <row r="72" spans="1:7" x14ac:dyDescent="0.2">
      <c r="A72" s="13" t="s">
        <v>210</v>
      </c>
      <c r="B72" s="14" t="s">
        <v>8</v>
      </c>
      <c r="C72" s="14">
        <v>0</v>
      </c>
      <c r="D72" s="15"/>
      <c r="E72" s="15">
        <f>C72*D72</f>
        <v>0</v>
      </c>
    </row>
    <row r="73" spans="1:7" x14ac:dyDescent="0.2">
      <c r="A73" s="16" t="s">
        <v>7</v>
      </c>
      <c r="B73" s="17" t="s">
        <v>96</v>
      </c>
      <c r="C73" s="87"/>
      <c r="D73" s="18"/>
      <c r="E73" s="18"/>
    </row>
    <row r="74" spans="1:7" x14ac:dyDescent="0.2">
      <c r="A74" s="16"/>
      <c r="B74" s="17" t="s">
        <v>100</v>
      </c>
      <c r="C74" s="116">
        <f>C73*8/7</f>
        <v>0</v>
      </c>
      <c r="D74" s="18"/>
      <c r="E74" s="18">
        <f>C74*D74</f>
        <v>0</v>
      </c>
    </row>
    <row r="75" spans="1:7" x14ac:dyDescent="0.2">
      <c r="A75" s="16" t="s">
        <v>30</v>
      </c>
      <c r="B75" s="17" t="s">
        <v>0</v>
      </c>
      <c r="C75" s="87"/>
      <c r="D75" s="18"/>
      <c r="E75" s="18">
        <f>C75*D75</f>
        <v>0</v>
      </c>
      <c r="G75" s="10" t="s">
        <v>246</v>
      </c>
    </row>
    <row r="76" spans="1:7" x14ac:dyDescent="0.2">
      <c r="A76" s="16" t="s">
        <v>97</v>
      </c>
      <c r="B76" s="17" t="s">
        <v>96</v>
      </c>
      <c r="C76" s="87"/>
      <c r="D76" s="18"/>
      <c r="E76" s="18"/>
      <c r="G76" s="10" t="s">
        <v>247</v>
      </c>
    </row>
    <row r="77" spans="1:7" x14ac:dyDescent="0.2">
      <c r="A77" s="16"/>
      <c r="B77" s="17" t="s">
        <v>100</v>
      </c>
      <c r="C77" s="116">
        <f>C76*8/7</f>
        <v>0</v>
      </c>
      <c r="D77" s="18"/>
      <c r="E77" s="18">
        <f>C77*D77</f>
        <v>0</v>
      </c>
      <c r="G77" s="10" t="s">
        <v>247</v>
      </c>
    </row>
    <row r="78" spans="1:7" x14ac:dyDescent="0.2">
      <c r="A78" s="16" t="s">
        <v>31</v>
      </c>
      <c r="B78" s="17" t="s">
        <v>0</v>
      </c>
      <c r="C78" s="87"/>
      <c r="D78" s="18"/>
      <c r="E78" s="18">
        <f>C78*D78</f>
        <v>0</v>
      </c>
      <c r="G78" s="10" t="s">
        <v>248</v>
      </c>
    </row>
    <row r="79" spans="1:7" x14ac:dyDescent="0.2">
      <c r="A79" s="16" t="s">
        <v>212</v>
      </c>
      <c r="B79" s="17" t="s">
        <v>96</v>
      </c>
      <c r="C79" s="87"/>
      <c r="D79" s="18"/>
      <c r="E79" s="18"/>
      <c r="G79" s="10" t="s">
        <v>249</v>
      </c>
    </row>
    <row r="80" spans="1:7" x14ac:dyDescent="0.2">
      <c r="A80" s="16"/>
      <c r="B80" s="17" t="s">
        <v>100</v>
      </c>
      <c r="C80" s="18">
        <f>C79*8/7</f>
        <v>0</v>
      </c>
      <c r="D80" s="18"/>
      <c r="E80" s="18">
        <f>C80*D80</f>
        <v>0</v>
      </c>
      <c r="G80" s="10" t="s">
        <v>249</v>
      </c>
    </row>
    <row r="81" spans="1:7" ht="13.15" customHeight="1" x14ac:dyDescent="0.2">
      <c r="A81" s="16" t="s">
        <v>214</v>
      </c>
      <c r="B81" s="17" t="s">
        <v>29</v>
      </c>
      <c r="D81" s="18">
        <f>63/302*(SUM(E75:E80))</f>
        <v>0</v>
      </c>
      <c r="E81" s="18">
        <f>D81</f>
        <v>0</v>
      </c>
      <c r="G81" s="10" t="s">
        <v>213</v>
      </c>
    </row>
    <row r="82" spans="1:7" x14ac:dyDescent="0.2">
      <c r="A82" s="16" t="s">
        <v>1</v>
      </c>
      <c r="B82" s="17" t="s">
        <v>2</v>
      </c>
      <c r="C82" s="17">
        <f>+C62</f>
        <v>40</v>
      </c>
      <c r="D82" s="82">
        <f>SUM(E72:E81)</f>
        <v>0</v>
      </c>
      <c r="E82" s="18">
        <f>C82*D82/100</f>
        <v>0</v>
      </c>
    </row>
    <row r="83" spans="1:7" x14ac:dyDescent="0.2">
      <c r="A83" s="112" t="s">
        <v>3</v>
      </c>
      <c r="B83" s="113"/>
      <c r="C83" s="113"/>
      <c r="D83" s="114"/>
      <c r="E83" s="115">
        <f>SUM(E72:E82)</f>
        <v>0</v>
      </c>
    </row>
    <row r="84" spans="1:7" x14ac:dyDescent="0.2">
      <c r="A84" s="16" t="s">
        <v>4</v>
      </c>
      <c r="B84" s="17" t="s">
        <v>2</v>
      </c>
      <c r="C84" s="136">
        <f>'2.Encargos Sociais'!$C$37*100</f>
        <v>70.595951999999997</v>
      </c>
      <c r="D84" s="18">
        <f>E83</f>
        <v>0</v>
      </c>
      <c r="E84" s="18">
        <f>D84*C84/100</f>
        <v>0</v>
      </c>
    </row>
    <row r="85" spans="1:7" x14ac:dyDescent="0.2">
      <c r="A85" s="112" t="s">
        <v>69</v>
      </c>
      <c r="B85" s="113"/>
      <c r="C85" s="113"/>
      <c r="D85" s="114"/>
      <c r="E85" s="115">
        <f>E83+E84</f>
        <v>0</v>
      </c>
    </row>
    <row r="86" spans="1:7" ht="13.5" thickBot="1" x14ac:dyDescent="0.25">
      <c r="A86" s="16" t="s">
        <v>5</v>
      </c>
      <c r="B86" s="17" t="s">
        <v>6</v>
      </c>
      <c r="C86" s="85"/>
      <c r="D86" s="18">
        <f>E85</f>
        <v>0</v>
      </c>
      <c r="E86" s="18">
        <f>C86*D86</f>
        <v>0</v>
      </c>
    </row>
    <row r="87" spans="1:7" ht="13.5" thickBot="1" x14ac:dyDescent="0.25">
      <c r="D87" s="119" t="s">
        <v>195</v>
      </c>
      <c r="E87" s="49">
        <f>$B$52</f>
        <v>1.1000000000000001</v>
      </c>
      <c r="F87" s="120">
        <f>E86*E87</f>
        <v>0</v>
      </c>
    </row>
    <row r="88" spans="1:7" ht="11.25" customHeight="1" x14ac:dyDescent="0.2"/>
    <row r="89" spans="1:7" ht="13.5" thickBot="1" x14ac:dyDescent="0.25">
      <c r="A89" s="9" t="s">
        <v>99</v>
      </c>
    </row>
    <row r="90" spans="1:7" s="12" customFormat="1" ht="13.15" customHeight="1" thickBot="1" x14ac:dyDescent="0.25">
      <c r="A90" s="59" t="s">
        <v>60</v>
      </c>
      <c r="B90" s="60" t="s">
        <v>61</v>
      </c>
      <c r="C90" s="60" t="s">
        <v>36</v>
      </c>
      <c r="D90" s="61" t="s">
        <v>233</v>
      </c>
      <c r="E90" s="61" t="s">
        <v>62</v>
      </c>
      <c r="F90" s="62" t="s">
        <v>63</v>
      </c>
      <c r="G90" s="10"/>
    </row>
    <row r="91" spans="1:7" x14ac:dyDescent="0.2">
      <c r="A91" s="299" t="s">
        <v>284</v>
      </c>
      <c r="B91" s="14" t="s">
        <v>8</v>
      </c>
      <c r="C91" s="14">
        <v>1</v>
      </c>
      <c r="D91" s="86">
        <v>2670.16</v>
      </c>
      <c r="E91" s="15">
        <f>C91*D91</f>
        <v>2670.16</v>
      </c>
    </row>
    <row r="92" spans="1:7" x14ac:dyDescent="0.2">
      <c r="A92" s="299" t="s">
        <v>297</v>
      </c>
      <c r="B92" s="14" t="s">
        <v>8</v>
      </c>
      <c r="C92" s="14">
        <v>1</v>
      </c>
      <c r="D92" s="86">
        <v>2670.16</v>
      </c>
      <c r="E92" s="15"/>
    </row>
    <row r="93" spans="1:7" x14ac:dyDescent="0.2">
      <c r="A93" s="16" t="s">
        <v>30</v>
      </c>
      <c r="B93" s="17" t="s">
        <v>0</v>
      </c>
      <c r="C93" s="87">
        <v>7.33</v>
      </c>
      <c r="D93" s="18">
        <f>(D91/220)*2</f>
        <v>24.274181818181816</v>
      </c>
      <c r="E93" s="18">
        <f>C93*D93</f>
        <v>177.9297527272727</v>
      </c>
      <c r="G93" s="10" t="s">
        <v>246</v>
      </c>
    </row>
    <row r="94" spans="1:7" x14ac:dyDescent="0.2">
      <c r="A94" s="16" t="s">
        <v>31</v>
      </c>
      <c r="B94" s="17" t="s">
        <v>0</v>
      </c>
      <c r="C94" s="87">
        <v>0</v>
      </c>
      <c r="D94" s="18">
        <v>0</v>
      </c>
      <c r="E94" s="18">
        <f>C94*D94</f>
        <v>0</v>
      </c>
      <c r="G94" s="10" t="s">
        <v>248</v>
      </c>
    </row>
    <row r="95" spans="1:7" ht="13.15" customHeight="1" x14ac:dyDescent="0.2">
      <c r="A95" s="16" t="s">
        <v>214</v>
      </c>
      <c r="B95" s="17" t="s">
        <v>29</v>
      </c>
      <c r="D95" s="18">
        <f>63/302*(SUM(E93:E94))</f>
        <v>37.117796098735695</v>
      </c>
      <c r="E95" s="18">
        <f>D95</f>
        <v>37.117796098735695</v>
      </c>
      <c r="G95" s="10" t="s">
        <v>213</v>
      </c>
    </row>
    <row r="96" spans="1:7" x14ac:dyDescent="0.2">
      <c r="A96" s="16" t="s">
        <v>211</v>
      </c>
      <c r="B96" s="17"/>
      <c r="C96" s="89">
        <v>1</v>
      </c>
      <c r="D96" s="18"/>
      <c r="E96" s="18"/>
    </row>
    <row r="97" spans="1:7" x14ac:dyDescent="0.2">
      <c r="A97" s="16" t="s">
        <v>1</v>
      </c>
      <c r="B97" s="17" t="s">
        <v>2</v>
      </c>
      <c r="C97" s="85">
        <v>40</v>
      </c>
      <c r="D97" s="82">
        <f>D92*C97%</f>
        <v>1068.0640000000001</v>
      </c>
      <c r="E97" s="18">
        <f>C97*D97/100</f>
        <v>427.22560000000004</v>
      </c>
    </row>
    <row r="98" spans="1:7" s="11" customFormat="1" x14ac:dyDescent="0.2">
      <c r="A98" s="98" t="s">
        <v>3</v>
      </c>
      <c r="B98" s="113"/>
      <c r="C98" s="113"/>
      <c r="D98" s="114"/>
      <c r="E98" s="100">
        <f>SUM(E91:E97)</f>
        <v>3312.4331488260086</v>
      </c>
      <c r="F98" s="43"/>
      <c r="G98" s="43"/>
    </row>
    <row r="99" spans="1:7" x14ac:dyDescent="0.2">
      <c r="A99" s="16" t="s">
        <v>4</v>
      </c>
      <c r="B99" s="17" t="s">
        <v>2</v>
      </c>
      <c r="C99" s="136">
        <v>70.599999999999994</v>
      </c>
      <c r="D99" s="18">
        <f>E98</f>
        <v>3312.4331488260086</v>
      </c>
      <c r="E99" s="18">
        <f>D99*C99/100</f>
        <v>2338.5778030711617</v>
      </c>
    </row>
    <row r="100" spans="1:7" s="11" customFormat="1" x14ac:dyDescent="0.2">
      <c r="A100" s="98" t="s">
        <v>250</v>
      </c>
      <c r="B100" s="258"/>
      <c r="C100" s="258"/>
      <c r="D100" s="259"/>
      <c r="E100" s="100">
        <f>E98+E99</f>
        <v>5651.0109518971703</v>
      </c>
      <c r="F100" s="43"/>
      <c r="G100" s="43"/>
    </row>
    <row r="101" spans="1:7" ht="13.5" thickBot="1" x14ac:dyDescent="0.25">
      <c r="A101" s="16" t="s">
        <v>5</v>
      </c>
      <c r="B101" s="17" t="s">
        <v>6</v>
      </c>
      <c r="C101" s="85">
        <v>1</v>
      </c>
      <c r="D101" s="18">
        <f>E100</f>
        <v>5651.0109518971703</v>
      </c>
      <c r="E101" s="18">
        <f>C101*D101</f>
        <v>5651.0109518971703</v>
      </c>
    </row>
    <row r="102" spans="1:7" ht="13.5" thickBot="1" x14ac:dyDescent="0.25">
      <c r="D102" s="119" t="s">
        <v>195</v>
      </c>
      <c r="E102" s="49">
        <f>$B$52</f>
        <v>1.1000000000000001</v>
      </c>
      <c r="F102" s="120">
        <f>E101*E102-0.01</f>
        <v>6216.102047086888</v>
      </c>
    </row>
    <row r="103" spans="1:7" ht="11.25" customHeight="1" x14ac:dyDescent="0.2"/>
    <row r="104" spans="1:7" ht="13.5" thickBot="1" x14ac:dyDescent="0.25">
      <c r="A104" s="7" t="s">
        <v>326</v>
      </c>
    </row>
    <row r="105" spans="1:7" ht="13.5" thickBot="1" x14ac:dyDescent="0.25">
      <c r="A105" s="59" t="s">
        <v>60</v>
      </c>
      <c r="B105" s="60" t="s">
        <v>61</v>
      </c>
      <c r="C105" s="60" t="s">
        <v>36</v>
      </c>
      <c r="D105" s="61" t="s">
        <v>233</v>
      </c>
      <c r="E105" s="61" t="s">
        <v>62</v>
      </c>
      <c r="F105" s="62" t="s">
        <v>63</v>
      </c>
    </row>
    <row r="106" spans="1:7" ht="13.5" thickBot="1" x14ac:dyDescent="0.25">
      <c r="A106" s="299" t="s">
        <v>327</v>
      </c>
      <c r="B106" s="315" t="s">
        <v>328</v>
      </c>
      <c r="C106" s="14">
        <v>2</v>
      </c>
      <c r="D106" s="15">
        <v>80</v>
      </c>
      <c r="E106" s="15">
        <f>D106*C106</f>
        <v>160</v>
      </c>
    </row>
    <row r="107" spans="1:7" ht="13.5" thickBot="1" x14ac:dyDescent="0.25">
      <c r="D107" s="119"/>
      <c r="E107" s="49"/>
      <c r="F107" s="120">
        <f>E106</f>
        <v>160</v>
      </c>
    </row>
    <row r="108" spans="1:7" ht="11.25" customHeight="1" x14ac:dyDescent="0.2">
      <c r="G108" s="9"/>
    </row>
    <row r="109" spans="1:7" ht="13.5" thickBot="1" x14ac:dyDescent="0.25">
      <c r="A109" s="7" t="s">
        <v>101</v>
      </c>
      <c r="B109" s="306"/>
      <c r="C109" s="7"/>
      <c r="D109" s="7"/>
      <c r="E109" s="7"/>
      <c r="F109" s="307"/>
      <c r="G109" s="9"/>
    </row>
    <row r="110" spans="1:7" ht="13.5" thickBot="1" x14ac:dyDescent="0.25">
      <c r="A110" s="59" t="s">
        <v>60</v>
      </c>
      <c r="B110" s="60" t="s">
        <v>61</v>
      </c>
      <c r="C110" s="60" t="s">
        <v>36</v>
      </c>
      <c r="D110" s="61" t="s">
        <v>233</v>
      </c>
      <c r="E110" s="61" t="s">
        <v>62</v>
      </c>
      <c r="F110" s="62" t="s">
        <v>63</v>
      </c>
      <c r="G110" s="9"/>
    </row>
    <row r="111" spans="1:7" x14ac:dyDescent="0.2">
      <c r="A111" s="305" t="s">
        <v>89</v>
      </c>
      <c r="B111" s="308" t="s">
        <v>29</v>
      </c>
      <c r="C111" s="309">
        <v>0</v>
      </c>
      <c r="D111" s="310">
        <v>0</v>
      </c>
      <c r="E111" s="311"/>
      <c r="F111" s="307"/>
      <c r="G111" s="9"/>
    </row>
    <row r="112" spans="1:7" x14ac:dyDescent="0.2">
      <c r="A112" s="305" t="s">
        <v>90</v>
      </c>
      <c r="B112" s="308" t="s">
        <v>91</v>
      </c>
      <c r="C112" s="312">
        <v>0</v>
      </c>
      <c r="D112" s="311"/>
      <c r="E112" s="311"/>
      <c r="F112" s="307"/>
      <c r="G112" s="9"/>
    </row>
    <row r="113" spans="1:7" x14ac:dyDescent="0.2">
      <c r="A113" s="305" t="s">
        <v>70</v>
      </c>
      <c r="B113" s="308" t="s">
        <v>9</v>
      </c>
      <c r="C113" s="313">
        <v>0</v>
      </c>
      <c r="D113" s="314">
        <v>0</v>
      </c>
      <c r="E113" s="311">
        <v>0</v>
      </c>
      <c r="F113" s="307"/>
      <c r="G113" s="9"/>
    </row>
    <row r="114" spans="1:7" ht="13.5" thickBot="1" x14ac:dyDescent="0.25">
      <c r="A114" s="299" t="s">
        <v>40</v>
      </c>
      <c r="B114" s="315" t="s">
        <v>9</v>
      </c>
      <c r="C114" s="313">
        <v>0</v>
      </c>
      <c r="D114" s="314">
        <v>0</v>
      </c>
      <c r="E114" s="311">
        <v>0</v>
      </c>
      <c r="F114" s="307"/>
      <c r="G114" s="9"/>
    </row>
    <row r="115" spans="1:7" ht="13.5" thickBot="1" x14ac:dyDescent="0.25">
      <c r="A115" s="7"/>
      <c r="B115" s="7"/>
      <c r="C115" s="7"/>
      <c r="D115" s="307"/>
      <c r="E115" s="307"/>
      <c r="F115" s="22">
        <f>SUM(E113:E114)</f>
        <v>0</v>
      </c>
      <c r="G115" s="9"/>
    </row>
    <row r="116" spans="1:7" ht="11.25" customHeight="1" x14ac:dyDescent="0.2">
      <c r="G116" s="9"/>
    </row>
    <row r="117" spans="1:7" ht="13.5" thickBot="1" x14ac:dyDescent="0.25">
      <c r="A117" s="9" t="s">
        <v>122</v>
      </c>
      <c r="F117" s="23"/>
      <c r="G117" s="9"/>
    </row>
    <row r="118" spans="1:7" ht="13.5" thickBot="1" x14ac:dyDescent="0.25">
      <c r="A118" s="59" t="s">
        <v>60</v>
      </c>
      <c r="B118" s="60" t="s">
        <v>61</v>
      </c>
      <c r="C118" s="60" t="s">
        <v>36</v>
      </c>
      <c r="D118" s="61" t="s">
        <v>233</v>
      </c>
      <c r="E118" s="61" t="s">
        <v>62</v>
      </c>
      <c r="F118" s="62" t="s">
        <v>63</v>
      </c>
      <c r="G118" s="9"/>
    </row>
    <row r="119" spans="1:7" x14ac:dyDescent="0.2">
      <c r="A119" s="16" t="str">
        <f>+A113</f>
        <v>Coletor</v>
      </c>
      <c r="B119" s="17" t="s">
        <v>10</v>
      </c>
      <c r="C119" s="97">
        <v>42</v>
      </c>
      <c r="D119" s="91">
        <v>27.15</v>
      </c>
      <c r="E119" s="49">
        <f>C119*D119</f>
        <v>1140.3</v>
      </c>
      <c r="F119" s="23"/>
      <c r="G119" s="9"/>
    </row>
    <row r="120" spans="1:7" x14ac:dyDescent="0.2">
      <c r="A120" s="305" t="s">
        <v>323</v>
      </c>
      <c r="B120" s="17"/>
      <c r="C120" s="97"/>
      <c r="D120" s="91"/>
      <c r="E120" s="49">
        <f>-E119*19%</f>
        <v>-216.65699999999998</v>
      </c>
      <c r="F120" s="23"/>
      <c r="G120" s="9"/>
    </row>
    <row r="121" spans="1:7" x14ac:dyDescent="0.2">
      <c r="A121" s="305" t="s">
        <v>324</v>
      </c>
      <c r="B121" s="17"/>
      <c r="C121" s="97"/>
      <c r="D121" s="91"/>
      <c r="E121" s="348">
        <f>SUM(E119:E120)</f>
        <v>923.64300000000003</v>
      </c>
      <c r="F121" s="23"/>
      <c r="G121" s="9"/>
    </row>
    <row r="122" spans="1:7" ht="13.5" thickBot="1" x14ac:dyDescent="0.25">
      <c r="A122" s="16" t="str">
        <f>+A114</f>
        <v>Motorista</v>
      </c>
      <c r="B122" s="17" t="s">
        <v>10</v>
      </c>
      <c r="C122" s="97">
        <v>21</v>
      </c>
      <c r="D122" s="91">
        <v>38</v>
      </c>
      <c r="E122" s="348">
        <f>C122*D122</f>
        <v>798</v>
      </c>
      <c r="F122" s="23"/>
      <c r="G122" s="9"/>
    </row>
    <row r="123" spans="1:7" ht="13.5" thickBot="1" x14ac:dyDescent="0.25">
      <c r="F123" s="22">
        <f>E121+E122</f>
        <v>1721.643</v>
      </c>
      <c r="G123" s="9"/>
    </row>
    <row r="124" spans="1:7" x14ac:dyDescent="0.2">
      <c r="G124" s="9"/>
    </row>
    <row r="125" spans="1:7" ht="13.5" thickBot="1" x14ac:dyDescent="0.25">
      <c r="A125" s="9" t="s">
        <v>123</v>
      </c>
      <c r="F125" s="23"/>
      <c r="G125" s="9"/>
    </row>
    <row r="126" spans="1:7" ht="13.5" thickBot="1" x14ac:dyDescent="0.25">
      <c r="A126" s="59" t="s">
        <v>60</v>
      </c>
      <c r="B126" s="60" t="s">
        <v>61</v>
      </c>
      <c r="C126" s="60" t="s">
        <v>36</v>
      </c>
      <c r="D126" s="61" t="s">
        <v>233</v>
      </c>
      <c r="E126" s="61" t="s">
        <v>62</v>
      </c>
      <c r="F126" s="62" t="s">
        <v>63</v>
      </c>
      <c r="G126" s="9"/>
    </row>
    <row r="127" spans="1:7" x14ac:dyDescent="0.2">
      <c r="A127" s="16" t="str">
        <f>+A119</f>
        <v>Coletor</v>
      </c>
      <c r="B127" s="17" t="s">
        <v>10</v>
      </c>
      <c r="C127" s="97">
        <f>E42+E43</f>
        <v>2</v>
      </c>
      <c r="D127" s="91"/>
      <c r="E127" s="49">
        <f>C127*D127</f>
        <v>0</v>
      </c>
      <c r="F127" s="23"/>
      <c r="G127" s="9"/>
    </row>
    <row r="128" spans="1:7" ht="13.5" thickBot="1" x14ac:dyDescent="0.25">
      <c r="A128" s="16" t="str">
        <f>+A122</f>
        <v>Motorista</v>
      </c>
      <c r="B128" s="17" t="s">
        <v>10</v>
      </c>
      <c r="C128" s="97">
        <v>0</v>
      </c>
      <c r="D128" s="91">
        <v>0</v>
      </c>
      <c r="E128" s="49">
        <f>C128*D128</f>
        <v>0</v>
      </c>
      <c r="F128" s="23"/>
      <c r="G128" s="9"/>
    </row>
    <row r="129" spans="1:7" ht="13.5" thickBot="1" x14ac:dyDescent="0.25">
      <c r="D129" s="119" t="s">
        <v>195</v>
      </c>
      <c r="E129" s="49">
        <f>$B$52</f>
        <v>1.1000000000000001</v>
      </c>
      <c r="F129" s="22">
        <f>SUM(E127:E128)*E129</f>
        <v>0</v>
      </c>
      <c r="G129" s="9"/>
    </row>
    <row r="130" spans="1:7" x14ac:dyDescent="0.2">
      <c r="G130" s="9"/>
    </row>
    <row r="131" spans="1:7" ht="13.5" thickBot="1" x14ac:dyDescent="0.25">
      <c r="A131" s="7" t="s">
        <v>300</v>
      </c>
      <c r="G131" s="9"/>
    </row>
    <row r="132" spans="1:7" ht="13.5" thickBot="1" x14ac:dyDescent="0.25">
      <c r="A132" s="59" t="s">
        <v>60</v>
      </c>
      <c r="B132" s="60" t="s">
        <v>61</v>
      </c>
      <c r="C132" s="60" t="s">
        <v>36</v>
      </c>
      <c r="D132" s="61" t="s">
        <v>233</v>
      </c>
      <c r="E132" s="61" t="s">
        <v>62</v>
      </c>
      <c r="F132" s="62" t="s">
        <v>63</v>
      </c>
      <c r="G132" s="9"/>
    </row>
    <row r="133" spans="1:7" x14ac:dyDescent="0.2">
      <c r="A133" s="16" t="str">
        <f>+A127</f>
        <v>Coletor</v>
      </c>
      <c r="B133" s="17" t="s">
        <v>10</v>
      </c>
      <c r="C133" s="97">
        <v>2</v>
      </c>
      <c r="D133" s="91">
        <v>24.1</v>
      </c>
      <c r="E133" s="49">
        <f>C133*D133</f>
        <v>48.2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97">
        <v>0</v>
      </c>
      <c r="D134" s="91">
        <v>0</v>
      </c>
      <c r="E134" s="49">
        <f>C134*D134</f>
        <v>0</v>
      </c>
      <c r="F134" s="23"/>
      <c r="G134" s="9"/>
    </row>
    <row r="135" spans="1:7" ht="13.5" thickBot="1" x14ac:dyDescent="0.25">
      <c r="A135" s="53"/>
      <c r="B135" s="316"/>
      <c r="C135" s="323"/>
      <c r="D135" s="119" t="s">
        <v>195</v>
      </c>
      <c r="E135" s="49">
        <v>1</v>
      </c>
      <c r="F135" s="22">
        <f>E133*E135</f>
        <v>48.2</v>
      </c>
      <c r="G135" s="9"/>
    </row>
    <row r="136" spans="1:7" x14ac:dyDescent="0.2">
      <c r="A136" s="53"/>
      <c r="B136" s="316"/>
      <c r="C136" s="323"/>
      <c r="D136" s="119"/>
      <c r="E136" s="49"/>
      <c r="F136" s="324"/>
      <c r="G136" s="9"/>
    </row>
    <row r="137" spans="1:7" ht="13.5" thickBot="1" x14ac:dyDescent="0.25">
      <c r="A137" s="7" t="s">
        <v>301</v>
      </c>
      <c r="G137" s="9"/>
    </row>
    <row r="138" spans="1:7" ht="13.5" thickBot="1" x14ac:dyDescent="0.25">
      <c r="A138" s="59" t="s">
        <v>60</v>
      </c>
      <c r="B138" s="60" t="s">
        <v>61</v>
      </c>
      <c r="C138" s="60" t="s">
        <v>36</v>
      </c>
      <c r="D138" s="61" t="s">
        <v>303</v>
      </c>
      <c r="E138" s="61" t="s">
        <v>62</v>
      </c>
      <c r="F138" s="62" t="s">
        <v>63</v>
      </c>
      <c r="G138" s="9"/>
    </row>
    <row r="139" spans="1:7" ht="13.5" thickBot="1" x14ac:dyDescent="0.25">
      <c r="A139" s="305" t="s">
        <v>302</v>
      </c>
      <c r="B139" s="17" t="s">
        <v>10</v>
      </c>
      <c r="C139" s="97">
        <v>1</v>
      </c>
      <c r="D139" s="91">
        <v>800</v>
      </c>
      <c r="E139" s="49">
        <f>C139*D139</f>
        <v>800</v>
      </c>
      <c r="F139" s="23"/>
      <c r="G139" s="9"/>
    </row>
    <row r="140" spans="1:7" ht="13.5" thickBot="1" x14ac:dyDescent="0.25">
      <c r="A140" s="53"/>
      <c r="B140" s="316"/>
      <c r="C140" s="323"/>
      <c r="D140" s="119" t="s">
        <v>195</v>
      </c>
      <c r="E140" s="49">
        <v>12</v>
      </c>
      <c r="F140" s="22">
        <f>E139/12</f>
        <v>66.666666666666671</v>
      </c>
      <c r="G140" s="9"/>
    </row>
    <row r="141" spans="1:7" x14ac:dyDescent="0.2">
      <c r="A141" s="104" t="s">
        <v>60</v>
      </c>
      <c r="B141" s="105" t="s">
        <v>61</v>
      </c>
      <c r="C141" s="105" t="s">
        <v>36</v>
      </c>
      <c r="D141" s="106" t="s">
        <v>303</v>
      </c>
      <c r="E141" s="106" t="s">
        <v>62</v>
      </c>
      <c r="F141" s="344" t="s">
        <v>63</v>
      </c>
      <c r="G141" s="9"/>
    </row>
    <row r="142" spans="1:7" x14ac:dyDescent="0.2">
      <c r="A142" s="305" t="s">
        <v>325</v>
      </c>
      <c r="B142" s="17" t="s">
        <v>10</v>
      </c>
      <c r="C142" s="97">
        <v>2</v>
      </c>
      <c r="D142" s="350">
        <v>22.5</v>
      </c>
      <c r="E142" s="49">
        <f>D142*C142</f>
        <v>45</v>
      </c>
      <c r="F142" s="353"/>
      <c r="G142" s="9"/>
    </row>
    <row r="143" spans="1:7" x14ac:dyDescent="0.2">
      <c r="A143" s="53"/>
      <c r="B143" s="316"/>
      <c r="C143" s="323"/>
      <c r="D143" s="350" t="s">
        <v>195</v>
      </c>
      <c r="E143" s="49">
        <v>12</v>
      </c>
      <c r="F143" s="353">
        <f>E142/E143</f>
        <v>3.75</v>
      </c>
      <c r="G143" s="9"/>
    </row>
    <row r="144" spans="1:7" ht="13.5" thickBot="1" x14ac:dyDescent="0.25">
      <c r="D144" s="325"/>
      <c r="E144" s="351"/>
      <c r="F144" s="352"/>
      <c r="G144" s="9"/>
    </row>
    <row r="145" spans="1:7" ht="13.5" thickBot="1" x14ac:dyDescent="0.25">
      <c r="A145" s="24" t="s">
        <v>92</v>
      </c>
      <c r="B145" s="25"/>
      <c r="C145" s="25"/>
      <c r="D145" s="26"/>
      <c r="E145" s="27"/>
      <c r="F145" s="22">
        <f>F129+F123+F115+F107+F102+F87+F68+F135+F140+F143+F107</f>
        <v>31332.033178151025</v>
      </c>
      <c r="G145" s="9"/>
    </row>
    <row r="147" spans="1:7" x14ac:dyDescent="0.2">
      <c r="A147" s="11" t="s">
        <v>41</v>
      </c>
      <c r="G147" s="9"/>
    </row>
    <row r="148" spans="1:7" ht="11.25" customHeight="1" x14ac:dyDescent="0.2">
      <c r="G148" s="9"/>
    </row>
    <row r="149" spans="1:7" ht="13.9" customHeight="1" x14ac:dyDescent="0.2">
      <c r="A149" s="9" t="s">
        <v>197</v>
      </c>
      <c r="G149" s="9"/>
    </row>
    <row r="150" spans="1:7" ht="11.25" customHeight="1" thickBot="1" x14ac:dyDescent="0.25">
      <c r="G150" s="9"/>
    </row>
    <row r="151" spans="1:7" ht="27.75" customHeight="1" thickBot="1" x14ac:dyDescent="0.25">
      <c r="A151" s="59" t="s">
        <v>60</v>
      </c>
      <c r="B151" s="60" t="s">
        <v>61</v>
      </c>
      <c r="C151" s="260" t="s">
        <v>251</v>
      </c>
      <c r="D151" s="61" t="s">
        <v>233</v>
      </c>
      <c r="E151" s="61" t="s">
        <v>62</v>
      </c>
      <c r="F151" s="62" t="s">
        <v>63</v>
      </c>
      <c r="G151" s="9"/>
    </row>
    <row r="152" spans="1:7" x14ac:dyDescent="0.2">
      <c r="A152" s="326" t="s">
        <v>64</v>
      </c>
      <c r="B152" s="14" t="s">
        <v>10</v>
      </c>
      <c r="C152" s="96">
        <v>6</v>
      </c>
      <c r="D152" s="86">
        <v>165</v>
      </c>
      <c r="E152" s="15">
        <f t="shared" ref="E152:E161" si="1">IFERROR(D152/C152,0)</f>
        <v>27.5</v>
      </c>
      <c r="G152" s="9"/>
    </row>
    <row r="153" spans="1:7" ht="13.15" customHeight="1" x14ac:dyDescent="0.2">
      <c r="A153" s="327" t="s">
        <v>304</v>
      </c>
      <c r="B153" s="17" t="s">
        <v>10</v>
      </c>
      <c r="C153" s="96">
        <v>4</v>
      </c>
      <c r="D153" s="86">
        <v>75.66</v>
      </c>
      <c r="E153" s="15">
        <f t="shared" si="1"/>
        <v>18.914999999999999</v>
      </c>
      <c r="G153" s="9"/>
    </row>
    <row r="154" spans="1:7" x14ac:dyDescent="0.2">
      <c r="A154" s="327" t="s">
        <v>305</v>
      </c>
      <c r="B154" s="17" t="s">
        <v>10</v>
      </c>
      <c r="C154" s="96">
        <v>4</v>
      </c>
      <c r="D154" s="86">
        <v>41.5</v>
      </c>
      <c r="E154" s="15">
        <f t="shared" si="1"/>
        <v>10.375</v>
      </c>
      <c r="G154" s="9"/>
    </row>
    <row r="155" spans="1:7" ht="13.15" customHeight="1" x14ac:dyDescent="0.2">
      <c r="A155" s="327" t="s">
        <v>306</v>
      </c>
      <c r="B155" s="308" t="s">
        <v>10</v>
      </c>
      <c r="C155" s="96">
        <v>4</v>
      </c>
      <c r="D155" s="86">
        <v>39.76</v>
      </c>
      <c r="E155" s="15">
        <f t="shared" si="1"/>
        <v>9.94</v>
      </c>
      <c r="G155" s="9"/>
    </row>
    <row r="156" spans="1:7" ht="13.9" customHeight="1" x14ac:dyDescent="0.2">
      <c r="A156" s="327" t="s">
        <v>307</v>
      </c>
      <c r="B156" s="308" t="s">
        <v>10</v>
      </c>
      <c r="C156" s="96">
        <v>6</v>
      </c>
      <c r="D156" s="86">
        <v>49.77</v>
      </c>
      <c r="E156" s="15">
        <f t="shared" si="1"/>
        <v>8.2949999999999999</v>
      </c>
      <c r="G156" s="9"/>
    </row>
    <row r="157" spans="1:7" ht="13.15" customHeight="1" x14ac:dyDescent="0.2">
      <c r="A157" s="328" t="s">
        <v>93</v>
      </c>
      <c r="B157" s="17" t="s">
        <v>44</v>
      </c>
      <c r="C157" s="96">
        <v>3</v>
      </c>
      <c r="D157" s="86">
        <v>14.46</v>
      </c>
      <c r="E157" s="15">
        <f t="shared" si="1"/>
        <v>4.82</v>
      </c>
    </row>
    <row r="158" spans="1:7" x14ac:dyDescent="0.2">
      <c r="A158" s="328" t="s">
        <v>66</v>
      </c>
      <c r="B158" s="17" t="s">
        <v>44</v>
      </c>
      <c r="C158" s="96">
        <v>6</v>
      </c>
      <c r="D158" s="86">
        <v>57.48</v>
      </c>
      <c r="E158" s="15">
        <f t="shared" si="1"/>
        <v>9.58</v>
      </c>
    </row>
    <row r="159" spans="1:7" s="1" customFormat="1" x14ac:dyDescent="0.2">
      <c r="A159" s="16" t="s">
        <v>65</v>
      </c>
      <c r="B159" s="17" t="s">
        <v>10</v>
      </c>
      <c r="C159" s="96">
        <v>4</v>
      </c>
      <c r="D159" s="86">
        <v>50.99</v>
      </c>
      <c r="E159" s="15">
        <f t="shared" si="1"/>
        <v>12.7475</v>
      </c>
      <c r="F159" s="37"/>
      <c r="G159" s="37"/>
    </row>
    <row r="160" spans="1:7" x14ac:dyDescent="0.2">
      <c r="A160" s="2" t="s">
        <v>11</v>
      </c>
      <c r="B160" s="3" t="s">
        <v>10</v>
      </c>
      <c r="C160" s="96">
        <v>12</v>
      </c>
      <c r="D160" s="86">
        <v>24.99</v>
      </c>
      <c r="E160" s="15">
        <f t="shared" si="1"/>
        <v>2.0825</v>
      </c>
    </row>
    <row r="161" spans="1:6" ht="13.15" customHeight="1" x14ac:dyDescent="0.2">
      <c r="A161" s="16" t="s">
        <v>59</v>
      </c>
      <c r="B161" s="17" t="s">
        <v>45</v>
      </c>
      <c r="C161" s="96">
        <v>1.5</v>
      </c>
      <c r="D161" s="86">
        <v>24.48</v>
      </c>
      <c r="E161" s="15">
        <f t="shared" si="1"/>
        <v>16.32</v>
      </c>
    </row>
    <row r="162" spans="1:6" x14ac:dyDescent="0.2">
      <c r="A162" s="305" t="s">
        <v>308</v>
      </c>
      <c r="B162" s="308" t="s">
        <v>44</v>
      </c>
      <c r="C162" s="96">
        <v>0.5</v>
      </c>
      <c r="D162" s="86">
        <v>11.99</v>
      </c>
      <c r="E162" s="18">
        <f t="shared" ref="E162:E165" si="2">C162*D162</f>
        <v>5.9950000000000001</v>
      </c>
    </row>
    <row r="163" spans="1:6" x14ac:dyDescent="0.2">
      <c r="A163" s="305" t="s">
        <v>309</v>
      </c>
      <c r="B163" s="308" t="s">
        <v>10</v>
      </c>
      <c r="C163" s="96">
        <v>6</v>
      </c>
      <c r="D163" s="86">
        <v>21.74</v>
      </c>
      <c r="E163" s="18">
        <f t="shared" si="2"/>
        <v>130.44</v>
      </c>
    </row>
    <row r="164" spans="1:6" x14ac:dyDescent="0.2">
      <c r="A164" s="16" t="s">
        <v>198</v>
      </c>
      <c r="B164" s="17" t="s">
        <v>124</v>
      </c>
      <c r="C164" s="117">
        <v>1</v>
      </c>
      <c r="D164" s="86">
        <v>34.1</v>
      </c>
      <c r="E164" s="18">
        <f t="shared" si="2"/>
        <v>34.1</v>
      </c>
    </row>
    <row r="165" spans="1:6" ht="13.5" thickBot="1" x14ac:dyDescent="0.25">
      <c r="A165" s="16" t="s">
        <v>5</v>
      </c>
      <c r="B165" s="17" t="s">
        <v>6</v>
      </c>
      <c r="C165" s="68">
        <v>2</v>
      </c>
      <c r="D165" s="18">
        <f>SUM(D152:D164)</f>
        <v>611.91999999999996</v>
      </c>
      <c r="E165" s="18">
        <f t="shared" si="2"/>
        <v>1223.8399999999999</v>
      </c>
    </row>
    <row r="166" spans="1:6" ht="13.5" thickBot="1" x14ac:dyDescent="0.25">
      <c r="D166" s="119" t="s">
        <v>195</v>
      </c>
      <c r="E166" s="49">
        <f>$B$52</f>
        <v>1.1000000000000001</v>
      </c>
      <c r="F166" s="120">
        <f>E165*E166-0.01</f>
        <v>1346.2139999999999</v>
      </c>
    </row>
    <row r="167" spans="1:6" ht="11.25" customHeight="1" x14ac:dyDescent="0.2"/>
    <row r="168" spans="1:6" ht="13.9" customHeight="1" x14ac:dyDescent="0.2">
      <c r="A168" s="9" t="s">
        <v>199</v>
      </c>
    </row>
    <row r="169" spans="1:6" ht="11.25" customHeight="1" thickBot="1" x14ac:dyDescent="0.25"/>
    <row r="170" spans="1:6" ht="24.75" thickBot="1" x14ac:dyDescent="0.25">
      <c r="A170" s="59" t="s">
        <v>60</v>
      </c>
      <c r="B170" s="60" t="s">
        <v>61</v>
      </c>
      <c r="C170" s="260" t="s">
        <v>251</v>
      </c>
      <c r="D170" s="61" t="s">
        <v>233</v>
      </c>
      <c r="E170" s="61" t="s">
        <v>62</v>
      </c>
      <c r="F170" s="62" t="s">
        <v>63</v>
      </c>
    </row>
    <row r="171" spans="1:6" x14ac:dyDescent="0.2">
      <c r="A171" s="326" t="s">
        <v>64</v>
      </c>
      <c r="B171" s="14" t="s">
        <v>10</v>
      </c>
      <c r="C171" s="96">
        <v>6</v>
      </c>
      <c r="D171" s="15">
        <v>165</v>
      </c>
      <c r="E171" s="15">
        <f>IFERROR(D171/C171,0)</f>
        <v>27.5</v>
      </c>
    </row>
    <row r="172" spans="1:6" x14ac:dyDescent="0.2">
      <c r="A172" s="327" t="s">
        <v>304</v>
      </c>
      <c r="B172" s="17" t="s">
        <v>10</v>
      </c>
      <c r="C172" s="96">
        <v>4</v>
      </c>
      <c r="D172" s="18">
        <v>75.66</v>
      </c>
      <c r="E172" s="15">
        <f t="shared" ref="E172:E178" si="3">IFERROR(D172/C172,0)</f>
        <v>18.914999999999999</v>
      </c>
    </row>
    <row r="173" spans="1:6" x14ac:dyDescent="0.2">
      <c r="A173" s="327" t="s">
        <v>305</v>
      </c>
      <c r="B173" s="17" t="s">
        <v>10</v>
      </c>
      <c r="C173" s="96">
        <v>4</v>
      </c>
      <c r="D173" s="18">
        <v>41.5</v>
      </c>
      <c r="E173" s="15">
        <f t="shared" si="3"/>
        <v>10.375</v>
      </c>
    </row>
    <row r="174" spans="1:6" x14ac:dyDescent="0.2">
      <c r="A174" s="327" t="s">
        <v>306</v>
      </c>
      <c r="B174" s="308" t="s">
        <v>10</v>
      </c>
      <c r="C174" s="96">
        <v>4</v>
      </c>
      <c r="D174" s="15">
        <v>39.76</v>
      </c>
      <c r="E174" s="15"/>
    </row>
    <row r="175" spans="1:6" x14ac:dyDescent="0.2">
      <c r="A175" s="327" t="s">
        <v>310</v>
      </c>
      <c r="B175" s="17" t="s">
        <v>44</v>
      </c>
      <c r="C175" s="96">
        <v>3</v>
      </c>
      <c r="D175" s="86">
        <v>14.46</v>
      </c>
      <c r="E175" s="15">
        <f t="shared" si="3"/>
        <v>4.82</v>
      </c>
    </row>
    <row r="176" spans="1:6" x14ac:dyDescent="0.2">
      <c r="A176" s="328" t="s">
        <v>66</v>
      </c>
      <c r="B176" s="17" t="s">
        <v>44</v>
      </c>
      <c r="C176" s="96">
        <v>6</v>
      </c>
      <c r="D176" s="18">
        <v>57.48</v>
      </c>
      <c r="E176" s="15">
        <f t="shared" si="3"/>
        <v>9.58</v>
      </c>
    </row>
    <row r="177" spans="1:7" x14ac:dyDescent="0.2">
      <c r="A177" s="16" t="s">
        <v>65</v>
      </c>
      <c r="B177" s="17" t="s">
        <v>10</v>
      </c>
      <c r="C177" s="96">
        <v>4</v>
      </c>
      <c r="D177" s="18">
        <v>50.99</v>
      </c>
      <c r="E177" s="15">
        <f t="shared" si="3"/>
        <v>12.7475</v>
      </c>
      <c r="G177" s="9"/>
    </row>
    <row r="178" spans="1:7" x14ac:dyDescent="0.2">
      <c r="A178" s="16" t="s">
        <v>59</v>
      </c>
      <c r="B178" s="17" t="s">
        <v>45</v>
      </c>
      <c r="C178" s="96">
        <v>1.5</v>
      </c>
      <c r="D178" s="18">
        <v>24.48</v>
      </c>
      <c r="E178" s="15">
        <f t="shared" si="3"/>
        <v>16.32</v>
      </c>
      <c r="G178" s="9"/>
    </row>
    <row r="179" spans="1:7" x14ac:dyDescent="0.2">
      <c r="A179" s="16" t="s">
        <v>198</v>
      </c>
      <c r="B179" s="17" t="s">
        <v>124</v>
      </c>
      <c r="C179" s="117">
        <v>1</v>
      </c>
      <c r="D179" s="86">
        <v>34.1</v>
      </c>
      <c r="E179" s="18">
        <f t="shared" ref="E179:E180" si="4">C179*D179</f>
        <v>34.1</v>
      </c>
      <c r="G179" s="9"/>
    </row>
    <row r="180" spans="1:7" ht="13.5" thickBot="1" x14ac:dyDescent="0.25">
      <c r="A180" s="16" t="s">
        <v>5</v>
      </c>
      <c r="B180" s="17" t="s">
        <v>6</v>
      </c>
      <c r="C180" s="68">
        <f>E44</f>
        <v>1</v>
      </c>
      <c r="D180" s="18">
        <f>SUM(D171:D179)</f>
        <v>503.43</v>
      </c>
      <c r="E180" s="18">
        <f t="shared" si="4"/>
        <v>503.43</v>
      </c>
      <c r="G180" s="9"/>
    </row>
    <row r="181" spans="1:7" ht="13.5" thickBot="1" x14ac:dyDescent="0.25">
      <c r="D181" s="119" t="s">
        <v>195</v>
      </c>
      <c r="E181" s="49">
        <f>$B$52</f>
        <v>1.1000000000000001</v>
      </c>
      <c r="F181" s="120">
        <f>E180*E181</f>
        <v>553.77300000000002</v>
      </c>
      <c r="G181" s="9"/>
    </row>
    <row r="182" spans="1:7" ht="11.25" customHeight="1" thickBot="1" x14ac:dyDescent="0.25">
      <c r="G182" s="9"/>
    </row>
    <row r="183" spans="1:7" ht="13.5" thickBot="1" x14ac:dyDescent="0.25">
      <c r="A183" s="24" t="s">
        <v>200</v>
      </c>
      <c r="B183" s="28"/>
      <c r="C183" s="28"/>
      <c r="D183" s="29"/>
      <c r="E183" s="30"/>
      <c r="F183" s="21">
        <f>+F166+F181</f>
        <v>1899.9870000000001</v>
      </c>
      <c r="G183" s="9"/>
    </row>
    <row r="184" spans="1:7" ht="11.25" customHeight="1" x14ac:dyDescent="0.2">
      <c r="G184" s="9"/>
    </row>
    <row r="185" spans="1:7" x14ac:dyDescent="0.2">
      <c r="A185" s="11" t="s">
        <v>50</v>
      </c>
      <c r="G185" s="9"/>
    </row>
    <row r="186" spans="1:7" ht="11.25" customHeight="1" x14ac:dyDescent="0.2">
      <c r="B186" s="102"/>
      <c r="G186" s="9"/>
    </row>
    <row r="187" spans="1:7" x14ac:dyDescent="0.2">
      <c r="A187" s="7" t="s">
        <v>293</v>
      </c>
      <c r="G187" s="9"/>
    </row>
    <row r="188" spans="1:7" ht="11.25" customHeight="1" x14ac:dyDescent="0.2">
      <c r="G188" s="9"/>
    </row>
    <row r="189" spans="1:7" ht="13.5" thickBot="1" x14ac:dyDescent="0.25">
      <c r="A189" s="102" t="s">
        <v>42</v>
      </c>
      <c r="G189" s="9"/>
    </row>
    <row r="190" spans="1:7" ht="13.5" thickBot="1" x14ac:dyDescent="0.25">
      <c r="A190" s="59" t="s">
        <v>60</v>
      </c>
      <c r="B190" s="60" t="s">
        <v>61</v>
      </c>
      <c r="C190" s="60" t="s">
        <v>36</v>
      </c>
      <c r="D190" s="61" t="s">
        <v>233</v>
      </c>
      <c r="E190" s="61" t="s">
        <v>62</v>
      </c>
      <c r="F190" s="62" t="s">
        <v>63</v>
      </c>
      <c r="G190" s="9"/>
    </row>
    <row r="191" spans="1:7" x14ac:dyDescent="0.2">
      <c r="A191" s="13" t="s">
        <v>106</v>
      </c>
      <c r="B191" s="14" t="s">
        <v>10</v>
      </c>
      <c r="C191" s="266">
        <v>1</v>
      </c>
      <c r="D191" s="86">
        <v>586666.80000000005</v>
      </c>
      <c r="E191" s="15">
        <f>C191*D191</f>
        <v>586666.80000000005</v>
      </c>
      <c r="G191" s="9"/>
    </row>
    <row r="192" spans="1:7" x14ac:dyDescent="0.2">
      <c r="A192" s="16" t="s">
        <v>102</v>
      </c>
      <c r="B192" s="17" t="s">
        <v>103</v>
      </c>
      <c r="C192" s="85">
        <v>10</v>
      </c>
      <c r="D192" s="82"/>
      <c r="E192" s="18"/>
      <c r="G192" s="9"/>
    </row>
    <row r="193" spans="1:10" x14ac:dyDescent="0.2">
      <c r="A193" s="16" t="s">
        <v>206</v>
      </c>
      <c r="B193" s="17" t="s">
        <v>103</v>
      </c>
      <c r="C193" s="85">
        <v>10</v>
      </c>
      <c r="D193" s="18"/>
      <c r="E193" s="18"/>
      <c r="F193" s="20"/>
      <c r="I193" s="84"/>
      <c r="J193" s="84"/>
    </row>
    <row r="194" spans="1:10" x14ac:dyDescent="0.2">
      <c r="A194" s="16" t="s">
        <v>105</v>
      </c>
      <c r="B194" s="17" t="s">
        <v>2</v>
      </c>
      <c r="C194" s="136">
        <v>33.630000000000003</v>
      </c>
      <c r="D194" s="18">
        <f>E191</f>
        <v>586666.80000000005</v>
      </c>
      <c r="E194" s="18">
        <f>C194*D194/100</f>
        <v>197296.04484000005</v>
      </c>
    </row>
    <row r="195" spans="1:10" ht="13.5" thickBot="1" x14ac:dyDescent="0.25">
      <c r="A195" s="269" t="s">
        <v>46</v>
      </c>
      <c r="B195" s="270" t="s">
        <v>8</v>
      </c>
      <c r="C195" s="270">
        <f>C192*12</f>
        <v>120</v>
      </c>
      <c r="D195" s="271">
        <f>IF(C193&lt;=C192,E194,0)</f>
        <v>197296.04484000005</v>
      </c>
      <c r="E195" s="271">
        <f>IFERROR(D195/C195,0)</f>
        <v>1644.1337070000004</v>
      </c>
    </row>
    <row r="196" spans="1:10" ht="13.5" thickTop="1" x14ac:dyDescent="0.2">
      <c r="A196" s="299" t="s">
        <v>294</v>
      </c>
      <c r="B196" s="14" t="s">
        <v>10</v>
      </c>
      <c r="C196" s="14">
        <f>C191</f>
        <v>1</v>
      </c>
      <c r="D196" s="86">
        <v>205942</v>
      </c>
      <c r="E196" s="15">
        <f>C196*D196</f>
        <v>205942</v>
      </c>
      <c r="G196" s="9"/>
    </row>
    <row r="197" spans="1:10" x14ac:dyDescent="0.2">
      <c r="A197" s="305" t="s">
        <v>295</v>
      </c>
      <c r="B197" s="17" t="s">
        <v>103</v>
      </c>
      <c r="C197" s="85">
        <v>10</v>
      </c>
      <c r="D197" s="18"/>
      <c r="E197" s="18"/>
    </row>
    <row r="198" spans="1:10" x14ac:dyDescent="0.2">
      <c r="A198" s="305" t="s">
        <v>296</v>
      </c>
      <c r="B198" s="17" t="s">
        <v>103</v>
      </c>
      <c r="C198" s="85">
        <v>10</v>
      </c>
      <c r="D198" s="18"/>
      <c r="E198" s="18"/>
      <c r="F198" s="20"/>
      <c r="I198" s="84"/>
      <c r="J198" s="84"/>
    </row>
    <row r="199" spans="1:10" x14ac:dyDescent="0.2">
      <c r="A199" s="16" t="s">
        <v>104</v>
      </c>
      <c r="B199" s="17" t="s">
        <v>2</v>
      </c>
      <c r="C199" s="137">
        <v>33.630000000000003</v>
      </c>
      <c r="D199" s="18">
        <f>E196</f>
        <v>205942</v>
      </c>
      <c r="E199" s="18">
        <f>C199*D199/100</f>
        <v>69258.294600000008</v>
      </c>
    </row>
    <row r="200" spans="1:10" x14ac:dyDescent="0.2">
      <c r="A200" s="98" t="s">
        <v>107</v>
      </c>
      <c r="B200" s="99" t="s">
        <v>8</v>
      </c>
      <c r="C200" s="99">
        <f>C197*12</f>
        <v>120</v>
      </c>
      <c r="D200" s="100">
        <f>IF(C198&lt;=C197,E199,0)</f>
        <v>69258.294600000008</v>
      </c>
      <c r="E200" s="100">
        <f>IFERROR(D200/C200,0)</f>
        <v>577.15245500000003</v>
      </c>
    </row>
    <row r="201" spans="1:10" x14ac:dyDescent="0.2">
      <c r="A201" s="112" t="s">
        <v>254</v>
      </c>
      <c r="B201" s="113"/>
      <c r="C201" s="113"/>
      <c r="D201" s="114"/>
      <c r="E201" s="115">
        <f>E195+E200</f>
        <v>2221.2861620000003</v>
      </c>
    </row>
    <row r="202" spans="1:10" ht="13.5" thickBot="1" x14ac:dyDescent="0.25">
      <c r="A202" s="98" t="s">
        <v>255</v>
      </c>
      <c r="B202" s="99" t="s">
        <v>10</v>
      </c>
      <c r="C202" s="85">
        <v>1</v>
      </c>
      <c r="D202" s="100">
        <f>E201</f>
        <v>2221.2861620000003</v>
      </c>
      <c r="E202" s="115">
        <f>C202*D202</f>
        <v>2221.2861620000003</v>
      </c>
    </row>
    <row r="203" spans="1:10" ht="13.5" thickBot="1" x14ac:dyDescent="0.25">
      <c r="A203" s="265"/>
      <c r="B203" s="265"/>
      <c r="C203" s="265"/>
      <c r="D203" s="119" t="s">
        <v>195</v>
      </c>
      <c r="E203" s="49">
        <f>$B$52</f>
        <v>1.1000000000000001</v>
      </c>
      <c r="F203" s="21">
        <f>E202*E203</f>
        <v>2443.4147782000005</v>
      </c>
    </row>
    <row r="204" spans="1:10" ht="11.25" customHeight="1" x14ac:dyDescent="0.2"/>
    <row r="205" spans="1:10" ht="13.5" thickBot="1" x14ac:dyDescent="0.25">
      <c r="A205" s="102" t="s">
        <v>112</v>
      </c>
    </row>
    <row r="206" spans="1:10" ht="13.5" thickBot="1" x14ac:dyDescent="0.25">
      <c r="A206" s="104" t="s">
        <v>60</v>
      </c>
      <c r="B206" s="105" t="s">
        <v>61</v>
      </c>
      <c r="C206" s="105" t="s">
        <v>36</v>
      </c>
      <c r="D206" s="61" t="s">
        <v>233</v>
      </c>
      <c r="E206" s="106" t="s">
        <v>62</v>
      </c>
      <c r="F206" s="62" t="s">
        <v>63</v>
      </c>
      <c r="I206" s="84"/>
      <c r="J206" s="84"/>
    </row>
    <row r="207" spans="1:10" x14ac:dyDescent="0.2">
      <c r="A207" s="16" t="s">
        <v>110</v>
      </c>
      <c r="B207" s="17" t="s">
        <v>10</v>
      </c>
      <c r="C207" s="266">
        <v>1</v>
      </c>
      <c r="D207" s="18">
        <f>D191</f>
        <v>586666.80000000005</v>
      </c>
      <c r="E207" s="18">
        <f>C207*D207</f>
        <v>586666.80000000005</v>
      </c>
      <c r="F207" s="20"/>
      <c r="I207" s="84"/>
      <c r="J207" s="84"/>
    </row>
    <row r="208" spans="1:10" x14ac:dyDescent="0.2">
      <c r="A208" s="16" t="s">
        <v>209</v>
      </c>
      <c r="B208" s="17" t="s">
        <v>2</v>
      </c>
      <c r="C208" s="85">
        <v>14.5</v>
      </c>
      <c r="D208" s="18"/>
      <c r="E208" s="18"/>
      <c r="F208" s="20"/>
      <c r="I208" s="84"/>
      <c r="J208" s="84"/>
    </row>
    <row r="209" spans="1:10" x14ac:dyDescent="0.2">
      <c r="A209" s="16" t="s">
        <v>207</v>
      </c>
      <c r="B209" s="17" t="s">
        <v>29</v>
      </c>
      <c r="C209" s="144">
        <f>IFERROR(IF(C193&lt;=C192,E191-(C194/(100*C192)*C193)*E191,E191-E194),0)</f>
        <v>389370.75516000006</v>
      </c>
      <c r="D209" s="18"/>
      <c r="E209" s="18"/>
      <c r="F209" s="20"/>
      <c r="I209" s="84"/>
      <c r="J209" s="84"/>
    </row>
    <row r="210" spans="1:10" x14ac:dyDescent="0.2">
      <c r="A210" s="16" t="s">
        <v>115</v>
      </c>
      <c r="B210" s="17" t="s">
        <v>29</v>
      </c>
      <c r="C210" s="82">
        <f>IFERROR(IF(C193&gt;=C192,C209,((((C209)-(E191-E194))*(((C192-C193)+1)/(2*(C192-C193))))+(E191-E194))),0)</f>
        <v>389370.75516000006</v>
      </c>
      <c r="D210" s="18"/>
      <c r="E210" s="18"/>
      <c r="F210" s="20"/>
      <c r="I210" s="84"/>
      <c r="J210" s="84"/>
    </row>
    <row r="211" spans="1:10" ht="13.5" thickBot="1" x14ac:dyDescent="0.25">
      <c r="A211" s="269" t="s">
        <v>116</v>
      </c>
      <c r="B211" s="270" t="s">
        <v>29</v>
      </c>
      <c r="C211" s="270"/>
      <c r="D211" s="272">
        <f>C208*C210/12/100</f>
        <v>4704.8966248500001</v>
      </c>
      <c r="E211" s="271">
        <f>D211</f>
        <v>4704.8966248500001</v>
      </c>
      <c r="F211" s="20"/>
      <c r="I211" s="84"/>
      <c r="J211" s="84"/>
    </row>
    <row r="212" spans="1:10" ht="13.5" thickTop="1" x14ac:dyDescent="0.2">
      <c r="A212" s="13" t="s">
        <v>111</v>
      </c>
      <c r="B212" s="14" t="s">
        <v>10</v>
      </c>
      <c r="C212" s="14">
        <f>C196</f>
        <v>1</v>
      </c>
      <c r="D212" s="15">
        <v>266200</v>
      </c>
      <c r="E212" s="15">
        <f>C212*D212</f>
        <v>266200</v>
      </c>
      <c r="F212" s="20"/>
      <c r="I212" s="84"/>
      <c r="J212" s="84"/>
    </row>
    <row r="213" spans="1:10" x14ac:dyDescent="0.2">
      <c r="A213" s="16" t="s">
        <v>209</v>
      </c>
      <c r="B213" s="17" t="s">
        <v>2</v>
      </c>
      <c r="C213" s="267">
        <f>C208</f>
        <v>14.5</v>
      </c>
      <c r="D213" s="18"/>
      <c r="E213" s="18"/>
      <c r="F213" s="20"/>
      <c r="I213" s="84"/>
      <c r="J213" s="84"/>
    </row>
    <row r="214" spans="1:10" x14ac:dyDescent="0.2">
      <c r="A214" s="16" t="s">
        <v>208</v>
      </c>
      <c r="B214" s="17" t="s">
        <v>29</v>
      </c>
      <c r="C214" s="144">
        <f>IFERROR(IF(C198&lt;=C197,E196-(C199/(100*C197)*C198)*E196,E196-E199),0)</f>
        <v>136683.70540000001</v>
      </c>
      <c r="D214" s="18"/>
      <c r="E214" s="18"/>
      <c r="F214" s="20"/>
      <c r="I214" s="84"/>
      <c r="J214" s="84"/>
    </row>
    <row r="215" spans="1:10" x14ac:dyDescent="0.2">
      <c r="A215" s="16" t="s">
        <v>117</v>
      </c>
      <c r="B215" s="17" t="s">
        <v>29</v>
      </c>
      <c r="C215" s="82">
        <f>IFERROR(IF(C198&gt;=C197,C214,((((C214)-(E196-E199))*(((C197-C198)+1)/(2*(C197-C198))))+(E196-E199))),0)</f>
        <v>136683.70540000001</v>
      </c>
      <c r="D215" s="18"/>
      <c r="E215" s="18"/>
      <c r="F215" s="20"/>
      <c r="I215" s="84"/>
      <c r="J215" s="84"/>
    </row>
    <row r="216" spans="1:10" x14ac:dyDescent="0.2">
      <c r="A216" s="98" t="s">
        <v>114</v>
      </c>
      <c r="B216" s="99" t="s">
        <v>29</v>
      </c>
      <c r="C216" s="99"/>
      <c r="D216" s="108">
        <f>C213*C215/12/100</f>
        <v>1651.5947735833333</v>
      </c>
      <c r="E216" s="100">
        <f>D216</f>
        <v>1651.5947735833333</v>
      </c>
      <c r="F216" s="20"/>
      <c r="I216" s="84"/>
      <c r="J216" s="84"/>
    </row>
    <row r="217" spans="1:10" x14ac:dyDescent="0.2">
      <c r="A217" s="112" t="s">
        <v>254</v>
      </c>
      <c r="B217" s="113"/>
      <c r="C217" s="113"/>
      <c r="D217" s="114"/>
      <c r="E217" s="115">
        <f>E211+E216</f>
        <v>6356.4913984333334</v>
      </c>
      <c r="F217" s="20"/>
      <c r="I217" s="84"/>
      <c r="J217" s="84"/>
    </row>
    <row r="218" spans="1:10" ht="13.5" thickBot="1" x14ac:dyDescent="0.25">
      <c r="A218" s="98" t="s">
        <v>255</v>
      </c>
      <c r="B218" s="99" t="s">
        <v>10</v>
      </c>
      <c r="C218" s="267">
        <f>C202</f>
        <v>1</v>
      </c>
      <c r="D218" s="100">
        <f>E217</f>
        <v>6356.4913984333334</v>
      </c>
      <c r="E218" s="115">
        <f>C218*D218</f>
        <v>6356.4913984333334</v>
      </c>
      <c r="F218" s="20"/>
      <c r="I218" s="84"/>
      <c r="J218" s="84"/>
    </row>
    <row r="219" spans="1:10" ht="13.5" thickBot="1" x14ac:dyDescent="0.25">
      <c r="C219" s="19"/>
      <c r="D219" s="119" t="s">
        <v>195</v>
      </c>
      <c r="E219" s="49">
        <f>$B$52</f>
        <v>1.1000000000000001</v>
      </c>
      <c r="F219" s="21">
        <f>E218*E219</f>
        <v>6992.140538276667</v>
      </c>
      <c r="I219" s="84"/>
      <c r="J219" s="84"/>
    </row>
    <row r="220" spans="1:10" ht="11.25" customHeight="1" x14ac:dyDescent="0.2">
      <c r="I220" s="84"/>
      <c r="J220" s="84"/>
    </row>
    <row r="221" spans="1:10" ht="13.5" thickBot="1" x14ac:dyDescent="0.25">
      <c r="A221" s="9" t="s">
        <v>47</v>
      </c>
      <c r="I221" s="84"/>
      <c r="J221" s="84"/>
    </row>
    <row r="222" spans="1:10" ht="13.5" thickBot="1" x14ac:dyDescent="0.25">
      <c r="A222" s="59" t="s">
        <v>60</v>
      </c>
      <c r="B222" s="60" t="s">
        <v>61</v>
      </c>
      <c r="C222" s="60" t="s">
        <v>36</v>
      </c>
      <c r="D222" s="61" t="s">
        <v>233</v>
      </c>
      <c r="E222" s="61" t="s">
        <v>62</v>
      </c>
      <c r="F222" s="62" t="s">
        <v>63</v>
      </c>
      <c r="I222" s="84"/>
      <c r="J222" s="84"/>
    </row>
    <row r="223" spans="1:10" x14ac:dyDescent="0.2">
      <c r="A223" s="13" t="s">
        <v>12</v>
      </c>
      <c r="B223" s="14" t="s">
        <v>10</v>
      </c>
      <c r="C223" s="15">
        <f>C202</f>
        <v>1</v>
      </c>
      <c r="D223" s="15">
        <f>0.01*($E$191)</f>
        <v>5866.6680000000006</v>
      </c>
      <c r="E223" s="15">
        <f>C223*D223</f>
        <v>5866.6680000000006</v>
      </c>
      <c r="I223" s="84"/>
      <c r="J223" s="84"/>
    </row>
    <row r="224" spans="1:10" x14ac:dyDescent="0.2">
      <c r="A224" s="16" t="s">
        <v>194</v>
      </c>
      <c r="B224" s="17" t="s">
        <v>10</v>
      </c>
      <c r="C224" s="15">
        <f>C202</f>
        <v>1</v>
      </c>
      <c r="D224" s="88">
        <v>499.66</v>
      </c>
      <c r="E224" s="18">
        <f>C224*D224</f>
        <v>499.66</v>
      </c>
      <c r="I224" s="84"/>
      <c r="J224" s="84"/>
    </row>
    <row r="225" spans="1:10" x14ac:dyDescent="0.2">
      <c r="A225" s="16" t="s">
        <v>13</v>
      </c>
      <c r="B225" s="17" t="s">
        <v>10</v>
      </c>
      <c r="C225" s="15">
        <f>C202</f>
        <v>1</v>
      </c>
      <c r="D225" s="88">
        <f>D207*C225%</f>
        <v>5866.6680000000006</v>
      </c>
      <c r="E225" s="18">
        <f>C225*D225</f>
        <v>5866.6680000000006</v>
      </c>
      <c r="F225" s="31"/>
      <c r="I225" s="84"/>
      <c r="J225" s="84"/>
    </row>
    <row r="226" spans="1:10" ht="13.5" thickBot="1" x14ac:dyDescent="0.25">
      <c r="A226" s="98" t="s">
        <v>14</v>
      </c>
      <c r="B226" s="99" t="s">
        <v>8</v>
      </c>
      <c r="C226" s="99">
        <v>12</v>
      </c>
      <c r="D226" s="100">
        <f>SUM(E223:E225)</f>
        <v>12232.996000000001</v>
      </c>
      <c r="E226" s="100">
        <f>D226/C226</f>
        <v>1019.4163333333335</v>
      </c>
      <c r="I226" s="84"/>
      <c r="J226" s="84"/>
    </row>
    <row r="227" spans="1:10" ht="13.5" thickBot="1" x14ac:dyDescent="0.25">
      <c r="D227" s="119" t="s">
        <v>195</v>
      </c>
      <c r="E227" s="49">
        <f>$B$52</f>
        <v>1.1000000000000001</v>
      </c>
      <c r="F227" s="120">
        <f>E226*E227</f>
        <v>1121.3579666666669</v>
      </c>
      <c r="I227" s="84"/>
      <c r="J227" s="84"/>
    </row>
    <row r="228" spans="1:10" ht="11.25" customHeight="1" x14ac:dyDescent="0.2">
      <c r="I228" s="84"/>
      <c r="J228" s="84"/>
    </row>
    <row r="229" spans="1:10" x14ac:dyDescent="0.2">
      <c r="A229" s="9" t="s">
        <v>48</v>
      </c>
      <c r="B229" s="32"/>
      <c r="I229" s="84"/>
      <c r="J229" s="84"/>
    </row>
    <row r="230" spans="1:10" x14ac:dyDescent="0.2">
      <c r="B230" s="32"/>
      <c r="I230" s="84"/>
      <c r="J230" s="84"/>
    </row>
    <row r="231" spans="1:10" x14ac:dyDescent="0.2">
      <c r="A231" s="98" t="s">
        <v>119</v>
      </c>
      <c r="B231" s="109">
        <v>3018</v>
      </c>
      <c r="I231" s="84"/>
      <c r="J231" s="84"/>
    </row>
    <row r="232" spans="1:10" ht="13.5" thickBot="1" x14ac:dyDescent="0.25">
      <c r="B232" s="32"/>
      <c r="I232" s="84"/>
      <c r="J232" s="84"/>
    </row>
    <row r="233" spans="1:10" ht="13.5" thickBot="1" x14ac:dyDescent="0.25">
      <c r="A233" s="59" t="s">
        <v>60</v>
      </c>
      <c r="B233" s="60" t="s">
        <v>61</v>
      </c>
      <c r="C233" s="60" t="s">
        <v>253</v>
      </c>
      <c r="D233" s="61" t="s">
        <v>233</v>
      </c>
      <c r="E233" s="61" t="s">
        <v>62</v>
      </c>
      <c r="F233" s="62" t="s">
        <v>63</v>
      </c>
      <c r="I233" s="84"/>
      <c r="J233" s="84"/>
    </row>
    <row r="234" spans="1:10" ht="16.5" customHeight="1" x14ac:dyDescent="0.2">
      <c r="A234" s="13" t="s">
        <v>15</v>
      </c>
      <c r="B234" s="14" t="s">
        <v>16</v>
      </c>
      <c r="C234" s="329">
        <v>2.2000000000000002</v>
      </c>
      <c r="D234" s="93">
        <v>7.14</v>
      </c>
      <c r="E234" s="15"/>
      <c r="I234" s="84"/>
      <c r="J234" s="84"/>
    </row>
    <row r="235" spans="1:10" x14ac:dyDescent="0.2">
      <c r="A235" s="16" t="s">
        <v>17</v>
      </c>
      <c r="B235" s="17" t="s">
        <v>18</v>
      </c>
      <c r="C235" s="90">
        <f>B231</f>
        <v>3018</v>
      </c>
      <c r="D235" s="264">
        <f>IFERROR(+D234/C234,"-")</f>
        <v>3.2454545454545451</v>
      </c>
      <c r="E235" s="18">
        <f>IFERROR(C235*D235,"-")</f>
        <v>9794.7818181818166</v>
      </c>
      <c r="I235" s="84"/>
      <c r="J235" s="84"/>
    </row>
    <row r="236" spans="1:10" x14ac:dyDescent="0.2">
      <c r="A236" s="16" t="s">
        <v>234</v>
      </c>
      <c r="B236" s="17" t="s">
        <v>19</v>
      </c>
      <c r="C236" s="95">
        <v>5.52</v>
      </c>
      <c r="D236" s="88">
        <v>17</v>
      </c>
      <c r="E236" s="18"/>
      <c r="G236" s="107"/>
      <c r="H236" s="51"/>
      <c r="I236" s="84"/>
      <c r="J236" s="84"/>
    </row>
    <row r="237" spans="1:10" x14ac:dyDescent="0.2">
      <c r="A237" s="16" t="s">
        <v>20</v>
      </c>
      <c r="B237" s="17" t="s">
        <v>18</v>
      </c>
      <c r="C237" s="90">
        <f>C235</f>
        <v>3018</v>
      </c>
      <c r="D237" s="261">
        <f>+C236*D236/1000</f>
        <v>9.3839999999999993E-2</v>
      </c>
      <c r="E237" s="18">
        <f>C237*D237</f>
        <v>283.20911999999998</v>
      </c>
      <c r="G237" s="107"/>
      <c r="H237" s="51"/>
      <c r="I237" s="84"/>
      <c r="J237" s="84"/>
    </row>
    <row r="238" spans="1:10" x14ac:dyDescent="0.2">
      <c r="A238" s="16" t="s">
        <v>235</v>
      </c>
      <c r="B238" s="17" t="s">
        <v>19</v>
      </c>
      <c r="C238" s="95">
        <v>0.3</v>
      </c>
      <c r="D238" s="88">
        <v>33.61</v>
      </c>
      <c r="E238" s="18"/>
      <c r="G238" s="107"/>
      <c r="H238" s="51"/>
      <c r="I238" s="84"/>
      <c r="J238" s="84"/>
    </row>
    <row r="239" spans="1:10" x14ac:dyDescent="0.2">
      <c r="A239" s="16" t="s">
        <v>21</v>
      </c>
      <c r="B239" s="17" t="s">
        <v>18</v>
      </c>
      <c r="C239" s="90">
        <f>C235</f>
        <v>3018</v>
      </c>
      <c r="D239" s="261">
        <f>+C238*D238/1000</f>
        <v>1.0083E-2</v>
      </c>
      <c r="E239" s="18">
        <f>C239*D239</f>
        <v>30.430493999999999</v>
      </c>
      <c r="G239" s="107"/>
      <c r="H239" s="51"/>
      <c r="I239" s="84"/>
      <c r="J239" s="84"/>
    </row>
    <row r="240" spans="1:10" x14ac:dyDescent="0.2">
      <c r="A240" s="16" t="s">
        <v>236</v>
      </c>
      <c r="B240" s="17" t="s">
        <v>19</v>
      </c>
      <c r="C240" s="95">
        <v>3.48</v>
      </c>
      <c r="D240" s="88">
        <v>22.28</v>
      </c>
      <c r="E240" s="18"/>
      <c r="G240" s="107"/>
      <c r="H240" s="51"/>
      <c r="I240" s="84"/>
      <c r="J240" s="84"/>
    </row>
    <row r="241" spans="1:10" x14ac:dyDescent="0.2">
      <c r="A241" s="16" t="s">
        <v>22</v>
      </c>
      <c r="B241" s="17" t="s">
        <v>18</v>
      </c>
      <c r="C241" s="90">
        <f>C235</f>
        <v>3018</v>
      </c>
      <c r="D241" s="261">
        <f>+C240*D240/1000</f>
        <v>7.7534400000000003E-2</v>
      </c>
      <c r="E241" s="18">
        <f>C241*D241</f>
        <v>233.99881920000001</v>
      </c>
      <c r="G241" s="107"/>
      <c r="H241" s="51"/>
      <c r="I241" s="84"/>
      <c r="J241" s="84"/>
    </row>
    <row r="242" spans="1:10" x14ac:dyDescent="0.2">
      <c r="A242" s="16" t="s">
        <v>23</v>
      </c>
      <c r="B242" s="17" t="s">
        <v>24</v>
      </c>
      <c r="C242" s="95">
        <v>2</v>
      </c>
      <c r="D242" s="88">
        <v>33.64</v>
      </c>
      <c r="E242" s="18"/>
      <c r="G242" s="107"/>
      <c r="H242" s="51"/>
      <c r="I242" s="84"/>
      <c r="J242" s="84"/>
    </row>
    <row r="243" spans="1:10" x14ac:dyDescent="0.2">
      <c r="A243" s="16" t="s">
        <v>25</v>
      </c>
      <c r="B243" s="17" t="s">
        <v>18</v>
      </c>
      <c r="C243" s="90">
        <f>C235</f>
        <v>3018</v>
      </c>
      <c r="D243" s="261">
        <f>+C242*D242/1000</f>
        <v>6.7280000000000006E-2</v>
      </c>
      <c r="E243" s="18">
        <f>C243*D243</f>
        <v>203.05104000000003</v>
      </c>
      <c r="G243" s="107"/>
      <c r="H243" s="51"/>
      <c r="I243" s="84"/>
      <c r="J243" s="84"/>
    </row>
    <row r="244" spans="1:10" x14ac:dyDescent="0.2">
      <c r="A244" s="305" t="s">
        <v>311</v>
      </c>
      <c r="B244" s="308" t="s">
        <v>10</v>
      </c>
      <c r="C244" s="331">
        <v>0.57999999999999996</v>
      </c>
      <c r="D244" s="88">
        <v>249.51</v>
      </c>
      <c r="E244" s="18">
        <f>C244*D244</f>
        <v>144.71579999999997</v>
      </c>
      <c r="G244" s="107"/>
      <c r="H244" s="51"/>
      <c r="I244" s="84"/>
      <c r="J244" s="84"/>
    </row>
    <row r="245" spans="1:10" x14ac:dyDescent="0.2">
      <c r="A245" s="305" t="s">
        <v>312</v>
      </c>
      <c r="B245" s="308" t="s">
        <v>10</v>
      </c>
      <c r="C245" s="331">
        <v>2.31</v>
      </c>
      <c r="D245" s="88">
        <v>178.6</v>
      </c>
      <c r="E245" s="18">
        <f>C245*D245</f>
        <v>412.56599999999997</v>
      </c>
      <c r="G245" s="107"/>
      <c r="H245" s="51"/>
      <c r="I245" s="84"/>
      <c r="J245" s="84"/>
    </row>
    <row r="246" spans="1:10" x14ac:dyDescent="0.2">
      <c r="A246" s="305" t="s">
        <v>313</v>
      </c>
      <c r="B246" s="308" t="s">
        <v>16</v>
      </c>
      <c r="C246" s="336">
        <v>0.02</v>
      </c>
      <c r="D246" s="337">
        <v>3.95</v>
      </c>
      <c r="E246" s="18"/>
      <c r="G246" s="107"/>
      <c r="H246" s="51"/>
      <c r="I246" s="84"/>
      <c r="J246" s="84"/>
    </row>
    <row r="247" spans="1:10" x14ac:dyDescent="0.2">
      <c r="A247" s="333" t="s">
        <v>314</v>
      </c>
      <c r="B247" s="334" t="s">
        <v>18</v>
      </c>
      <c r="C247" s="330">
        <f>B231</f>
        <v>3018</v>
      </c>
      <c r="D247" s="93">
        <f>D246*C246</f>
        <v>7.9000000000000001E-2</v>
      </c>
      <c r="E247" s="82">
        <f>C247*D247</f>
        <v>238.422</v>
      </c>
      <c r="G247" s="107"/>
      <c r="H247" s="51"/>
      <c r="I247" s="84"/>
      <c r="J247" s="84"/>
    </row>
    <row r="248" spans="1:10" ht="13.5" thickBot="1" x14ac:dyDescent="0.25">
      <c r="A248" s="98" t="s">
        <v>252</v>
      </c>
      <c r="B248" s="99" t="s">
        <v>120</v>
      </c>
      <c r="C248" s="262"/>
      <c r="D248" s="263">
        <f>IFERROR(D235+D237+D239+D241+D243+D247,0)</f>
        <v>3.5731919454545458</v>
      </c>
      <c r="E248" s="18"/>
      <c r="G248" s="107"/>
      <c r="H248" s="51"/>
      <c r="I248" s="84"/>
      <c r="J248" s="84"/>
    </row>
    <row r="249" spans="1:10" ht="13.5" thickBot="1" x14ac:dyDescent="0.25">
      <c r="C249" s="335"/>
      <c r="F249" s="21">
        <f>SUM(E234:E247)</f>
        <v>11341.175091381818</v>
      </c>
      <c r="I249" s="84"/>
      <c r="J249" s="84"/>
    </row>
    <row r="250" spans="1:10" ht="11.25" customHeight="1" x14ac:dyDescent="0.2">
      <c r="B250" s="332"/>
      <c r="C250" s="332"/>
      <c r="I250" s="84"/>
      <c r="J250" s="84"/>
    </row>
    <row r="251" spans="1:10" ht="13.5" thickBot="1" x14ac:dyDescent="0.25">
      <c r="A251" s="9" t="s">
        <v>49</v>
      </c>
      <c r="I251" s="84"/>
      <c r="J251" s="84"/>
    </row>
    <row r="252" spans="1:10" ht="13.5" thickBot="1" x14ac:dyDescent="0.25">
      <c r="A252" s="59" t="s">
        <v>60</v>
      </c>
      <c r="B252" s="60" t="s">
        <v>61</v>
      </c>
      <c r="C252" s="60" t="s">
        <v>36</v>
      </c>
      <c r="D252" s="61" t="s">
        <v>233</v>
      </c>
      <c r="E252" s="61" t="s">
        <v>62</v>
      </c>
      <c r="F252" s="62" t="s">
        <v>63</v>
      </c>
      <c r="I252" s="84"/>
      <c r="J252" s="84"/>
    </row>
    <row r="253" spans="1:10" ht="13.5" thickBot="1" x14ac:dyDescent="0.25">
      <c r="A253" s="13" t="s">
        <v>118</v>
      </c>
      <c r="B253" s="14" t="s">
        <v>120</v>
      </c>
      <c r="C253" s="90">
        <f>C235</f>
        <v>3018</v>
      </c>
      <c r="D253" s="86">
        <v>1.1599999999999999</v>
      </c>
      <c r="E253" s="15">
        <f>C253*D253</f>
        <v>3500.8799999999997</v>
      </c>
      <c r="I253" s="84"/>
      <c r="J253" s="84"/>
    </row>
    <row r="254" spans="1:10" ht="13.5" thickBot="1" x14ac:dyDescent="0.25">
      <c r="F254" s="21">
        <f>E253</f>
        <v>3500.8799999999997</v>
      </c>
      <c r="I254" s="84"/>
      <c r="J254" s="84"/>
    </row>
    <row r="255" spans="1:10" ht="11.25" customHeight="1" x14ac:dyDescent="0.2">
      <c r="I255" s="84"/>
      <c r="J255" s="84"/>
    </row>
    <row r="256" spans="1:10" ht="13.5" thickBot="1" x14ac:dyDescent="0.25">
      <c r="A256" s="9" t="s">
        <v>58</v>
      </c>
      <c r="I256" s="84"/>
      <c r="J256" s="84"/>
    </row>
    <row r="257" spans="1:10" ht="13.5" thickBot="1" x14ac:dyDescent="0.25">
      <c r="A257" s="59" t="s">
        <v>60</v>
      </c>
      <c r="B257" s="60" t="s">
        <v>61</v>
      </c>
      <c r="C257" s="60" t="s">
        <v>36</v>
      </c>
      <c r="D257" s="61" t="s">
        <v>233</v>
      </c>
      <c r="E257" s="61" t="s">
        <v>62</v>
      </c>
      <c r="F257" s="62" t="s">
        <v>63</v>
      </c>
      <c r="I257" s="84"/>
      <c r="J257" s="84"/>
    </row>
    <row r="258" spans="1:10" x14ac:dyDescent="0.2">
      <c r="A258" s="299" t="s">
        <v>315</v>
      </c>
      <c r="B258" s="14" t="s">
        <v>10</v>
      </c>
      <c r="C258" s="92">
        <v>6</v>
      </c>
      <c r="D258" s="86">
        <v>1963.01</v>
      </c>
      <c r="E258" s="15">
        <f>C258*D258</f>
        <v>11778.06</v>
      </c>
      <c r="I258" s="84"/>
      <c r="J258" s="84"/>
    </row>
    <row r="259" spans="1:10" x14ac:dyDescent="0.2">
      <c r="A259" s="13" t="s">
        <v>121</v>
      </c>
      <c r="B259" s="14" t="s">
        <v>10</v>
      </c>
      <c r="C259" s="92">
        <v>2</v>
      </c>
      <c r="D259" s="101"/>
      <c r="E259" s="15"/>
      <c r="I259" s="84"/>
      <c r="J259" s="84"/>
    </row>
    <row r="260" spans="1:10" x14ac:dyDescent="0.2">
      <c r="A260" s="13" t="s">
        <v>67</v>
      </c>
      <c r="B260" s="14" t="s">
        <v>10</v>
      </c>
      <c r="C260" s="15">
        <v>6</v>
      </c>
      <c r="D260" s="86">
        <v>588.9</v>
      </c>
      <c r="E260" s="15">
        <f>C260*D260</f>
        <v>3533.3999999999996</v>
      </c>
      <c r="I260" s="84"/>
      <c r="J260" s="84"/>
    </row>
    <row r="261" spans="1:10" x14ac:dyDescent="0.2">
      <c r="A261" s="16" t="s">
        <v>94</v>
      </c>
      <c r="B261" s="17" t="s">
        <v>26</v>
      </c>
      <c r="C261" s="94">
        <v>105000</v>
      </c>
      <c r="D261" s="18">
        <f>E258+E260</f>
        <v>15311.46</v>
      </c>
      <c r="E261" s="18">
        <f>IFERROR(D261/C261,"-")</f>
        <v>0.14582342857142858</v>
      </c>
      <c r="I261" s="84"/>
      <c r="J261" s="84"/>
    </row>
    <row r="262" spans="1:10" ht="13.5" thickBot="1" x14ac:dyDescent="0.25">
      <c r="A262" s="16" t="s">
        <v>51</v>
      </c>
      <c r="B262" s="17" t="s">
        <v>18</v>
      </c>
      <c r="C262" s="90">
        <f>B231</f>
        <v>3018</v>
      </c>
      <c r="D262" s="18">
        <f>E261</f>
        <v>0.14582342857142858</v>
      </c>
      <c r="E262" s="18">
        <f>IFERROR(C262*D262,0)</f>
        <v>440.09510742857145</v>
      </c>
      <c r="I262" s="84"/>
      <c r="J262" s="84"/>
    </row>
    <row r="263" spans="1:10" ht="13.5" thickBot="1" x14ac:dyDescent="0.25">
      <c r="F263" s="21">
        <f>E262</f>
        <v>440.09510742857145</v>
      </c>
      <c r="I263" s="84"/>
      <c r="J263" s="84"/>
    </row>
    <row r="264" spans="1:10" x14ac:dyDescent="0.2">
      <c r="F264" s="338"/>
      <c r="I264" s="84"/>
      <c r="J264" s="84"/>
    </row>
    <row r="265" spans="1:10" ht="13.5" thickBot="1" x14ac:dyDescent="0.25">
      <c r="A265" s="7" t="s">
        <v>316</v>
      </c>
      <c r="D265" s="341" t="s">
        <v>318</v>
      </c>
      <c r="I265" s="84"/>
      <c r="J265" s="84"/>
    </row>
    <row r="266" spans="1:10" x14ac:dyDescent="0.2">
      <c r="A266" s="104" t="s">
        <v>60</v>
      </c>
      <c r="B266" s="105" t="s">
        <v>317</v>
      </c>
      <c r="C266" s="105" t="s">
        <v>317</v>
      </c>
      <c r="D266" s="342" t="s">
        <v>319</v>
      </c>
      <c r="E266" s="343" t="s">
        <v>62</v>
      </c>
      <c r="F266" s="344" t="s">
        <v>63</v>
      </c>
      <c r="I266" s="84"/>
      <c r="J266" s="84"/>
    </row>
    <row r="267" spans="1:10" x14ac:dyDescent="0.2">
      <c r="A267" s="354" t="s">
        <v>320</v>
      </c>
      <c r="B267" s="355"/>
      <c r="C267" s="346">
        <v>0.1</v>
      </c>
      <c r="D267" s="347">
        <v>1963.01</v>
      </c>
      <c r="E267" s="49">
        <f>C267*D267</f>
        <v>196.30100000000002</v>
      </c>
      <c r="F267" s="49"/>
      <c r="I267" s="84"/>
      <c r="J267" s="84"/>
    </row>
    <row r="268" spans="1:10" ht="13.5" thickBot="1" x14ac:dyDescent="0.25">
      <c r="A268" s="339"/>
      <c r="B268" s="53"/>
      <c r="C268" s="340"/>
      <c r="D268" s="340"/>
      <c r="E268" s="58"/>
      <c r="F268" s="345">
        <f>E267</f>
        <v>196.30100000000002</v>
      </c>
      <c r="I268" s="84"/>
      <c r="J268" s="84"/>
    </row>
    <row r="269" spans="1:10" ht="13.5" thickBot="1" x14ac:dyDescent="0.25">
      <c r="F269" s="33"/>
      <c r="I269" s="84"/>
      <c r="J269" s="84"/>
    </row>
    <row r="270" spans="1:10" ht="13.5" thickBot="1" x14ac:dyDescent="0.25">
      <c r="A270" s="24" t="s">
        <v>221</v>
      </c>
      <c r="B270" s="25"/>
      <c r="C270" s="25"/>
      <c r="D270" s="26"/>
      <c r="E270" s="27"/>
      <c r="F270" s="21">
        <f>+SUM(F191:F269)</f>
        <v>26035.364481953726</v>
      </c>
      <c r="G270" s="9"/>
    </row>
    <row r="271" spans="1:10" ht="11.25" customHeight="1" x14ac:dyDescent="0.2">
      <c r="G271" s="9"/>
    </row>
    <row r="272" spans="1:10" x14ac:dyDescent="0.2">
      <c r="A272" s="34" t="s">
        <v>71</v>
      </c>
      <c r="B272" s="34"/>
      <c r="C272" s="34"/>
      <c r="D272" s="35"/>
      <c r="E272" s="35"/>
      <c r="F272" s="33"/>
      <c r="G272" s="9"/>
    </row>
    <row r="273" spans="1:7" ht="11.25" customHeight="1" thickBot="1" x14ac:dyDescent="0.25">
      <c r="G273" s="9"/>
    </row>
    <row r="274" spans="1:7" ht="13.5" thickBot="1" x14ac:dyDescent="0.25">
      <c r="A274" s="59" t="s">
        <v>60</v>
      </c>
      <c r="B274" s="60" t="s">
        <v>61</v>
      </c>
      <c r="C274" s="60" t="s">
        <v>36</v>
      </c>
      <c r="D274" s="61" t="s">
        <v>233</v>
      </c>
      <c r="E274" s="61" t="s">
        <v>62</v>
      </c>
      <c r="F274" s="62" t="s">
        <v>63</v>
      </c>
      <c r="G274" s="9"/>
    </row>
    <row r="275" spans="1:7" x14ac:dyDescent="0.2">
      <c r="A275" s="16" t="s">
        <v>68</v>
      </c>
      <c r="B275" s="17" t="s">
        <v>10</v>
      </c>
      <c r="C275" s="96">
        <v>0.16666666666666666</v>
      </c>
      <c r="D275" s="86">
        <v>45</v>
      </c>
      <c r="E275" s="18">
        <f>C275*D275</f>
        <v>7.5</v>
      </c>
      <c r="F275" s="54"/>
      <c r="G275" s="9"/>
    </row>
    <row r="276" spans="1:7" x14ac:dyDescent="0.2">
      <c r="A276" s="16" t="s">
        <v>27</v>
      </c>
      <c r="B276" s="17" t="s">
        <v>10</v>
      </c>
      <c r="C276" s="96">
        <v>0.5</v>
      </c>
      <c r="D276" s="86">
        <v>42.9</v>
      </c>
      <c r="E276" s="18">
        <f>C276*D276</f>
        <v>21.45</v>
      </c>
      <c r="F276" s="54"/>
      <c r="G276" s="9"/>
    </row>
    <row r="277" spans="1:7" x14ac:dyDescent="0.2">
      <c r="A277" s="16" t="s">
        <v>28</v>
      </c>
      <c r="B277" s="17" t="s">
        <v>10</v>
      </c>
      <c r="C277" s="96">
        <v>1</v>
      </c>
      <c r="D277" s="86">
        <v>21.6</v>
      </c>
      <c r="E277" s="18">
        <f>C277*D277</f>
        <v>21.6</v>
      </c>
      <c r="F277" s="54"/>
      <c r="G277" s="9"/>
    </row>
    <row r="278" spans="1:7" x14ac:dyDescent="0.2">
      <c r="A278" s="16" t="s">
        <v>53</v>
      </c>
      <c r="B278" s="17" t="s">
        <v>54</v>
      </c>
      <c r="C278" s="96">
        <v>0</v>
      </c>
      <c r="D278" s="86">
        <v>1150</v>
      </c>
      <c r="E278" s="18">
        <f>C278*D278</f>
        <v>0</v>
      </c>
      <c r="F278" s="54"/>
      <c r="G278" s="9"/>
    </row>
    <row r="279" spans="1:7" ht="13.5" thickBot="1" x14ac:dyDescent="0.25">
      <c r="A279" s="16" t="s">
        <v>56</v>
      </c>
      <c r="B279" s="17" t="s">
        <v>54</v>
      </c>
      <c r="C279" s="96">
        <v>0</v>
      </c>
      <c r="D279" s="86">
        <v>980</v>
      </c>
      <c r="E279" s="18">
        <f>C279*D279</f>
        <v>0</v>
      </c>
      <c r="F279" s="54"/>
      <c r="G279" s="9"/>
    </row>
    <row r="280" spans="1:7" ht="13.5" thickBot="1" x14ac:dyDescent="0.25">
      <c r="A280" s="34"/>
      <c r="B280" s="34"/>
      <c r="C280" s="34"/>
      <c r="D280" s="34"/>
      <c r="E280" s="35"/>
      <c r="F280" s="21">
        <f>SUM(E275:E279)</f>
        <v>50.55</v>
      </c>
      <c r="G280" s="9"/>
    </row>
    <row r="281" spans="1:7" ht="11.25" customHeight="1" thickBot="1" x14ac:dyDescent="0.25">
      <c r="G281" s="9"/>
    </row>
    <row r="282" spans="1:7" ht="13.5" thickBot="1" x14ac:dyDescent="0.25">
      <c r="A282" s="24" t="s">
        <v>222</v>
      </c>
      <c r="B282" s="25"/>
      <c r="C282" s="25"/>
      <c r="D282" s="26"/>
      <c r="E282" s="27"/>
      <c r="F282" s="21">
        <f>+F280</f>
        <v>50.55</v>
      </c>
      <c r="G282" s="9"/>
    </row>
    <row r="283" spans="1:7" ht="11.25" customHeight="1" x14ac:dyDescent="0.2">
      <c r="G283" s="9"/>
    </row>
    <row r="284" spans="1:7" x14ac:dyDescent="0.2">
      <c r="A284" s="34" t="s">
        <v>72</v>
      </c>
      <c r="B284" s="34"/>
      <c r="C284" s="34"/>
      <c r="D284" s="35"/>
      <c r="E284" s="35"/>
      <c r="F284" s="33"/>
    </row>
    <row r="285" spans="1:7" ht="11.25" customHeight="1" thickBot="1" x14ac:dyDescent="0.25"/>
    <row r="286" spans="1:7" ht="13.5" thickBot="1" x14ac:dyDescent="0.25">
      <c r="A286" s="59" t="s">
        <v>60</v>
      </c>
      <c r="B286" s="60" t="s">
        <v>61</v>
      </c>
      <c r="C286" s="60" t="s">
        <v>36</v>
      </c>
      <c r="D286" s="61" t="s">
        <v>233</v>
      </c>
      <c r="E286" s="61" t="s">
        <v>62</v>
      </c>
      <c r="F286" s="62" t="s">
        <v>63</v>
      </c>
    </row>
    <row r="287" spans="1:7" x14ac:dyDescent="0.2">
      <c r="A287" s="16" t="s">
        <v>219</v>
      </c>
      <c r="B287" s="52" t="s">
        <v>54</v>
      </c>
      <c r="C287" s="68">
        <f>C191</f>
        <v>1</v>
      </c>
      <c r="D287" s="88">
        <v>2780.2</v>
      </c>
      <c r="E287" s="18">
        <f>+D287*C287</f>
        <v>2780.2</v>
      </c>
      <c r="F287" s="54"/>
    </row>
    <row r="288" spans="1:7" x14ac:dyDescent="0.2">
      <c r="A288" s="16" t="s">
        <v>57</v>
      </c>
      <c r="B288" s="52" t="s">
        <v>8</v>
      </c>
      <c r="C288" s="150">
        <v>60</v>
      </c>
      <c r="D288" s="79">
        <f>SUM(E287:E287)</f>
        <v>2780.2</v>
      </c>
      <c r="E288" s="79">
        <f>+D288/C288</f>
        <v>46.336666666666666</v>
      </c>
      <c r="F288" s="54"/>
    </row>
    <row r="289" spans="1:7" x14ac:dyDescent="0.2">
      <c r="A289" s="16" t="s">
        <v>220</v>
      </c>
      <c r="B289" s="17" t="s">
        <v>10</v>
      </c>
      <c r="C289" s="68">
        <f>+C287</f>
        <v>1</v>
      </c>
      <c r="D289" s="88">
        <v>79</v>
      </c>
      <c r="E289" s="18">
        <f>C289*D289</f>
        <v>79</v>
      </c>
      <c r="F289" s="54"/>
    </row>
    <row r="290" spans="1:7" ht="13.5" thickBot="1" x14ac:dyDescent="0.25">
      <c r="A290" s="16" t="s">
        <v>33</v>
      </c>
      <c r="B290" s="52" t="s">
        <v>8</v>
      </c>
      <c r="C290" s="150">
        <v>1</v>
      </c>
      <c r="D290" s="79">
        <v>79</v>
      </c>
      <c r="E290" s="79">
        <f>+D290/C290</f>
        <v>79</v>
      </c>
      <c r="F290" s="54"/>
    </row>
    <row r="291" spans="1:7" ht="13.5" thickBot="1" x14ac:dyDescent="0.25">
      <c r="A291" s="80"/>
      <c r="B291" s="80"/>
      <c r="C291" s="80"/>
      <c r="D291" s="119" t="s">
        <v>195</v>
      </c>
      <c r="E291" s="49">
        <f>$B$52</f>
        <v>1.1000000000000001</v>
      </c>
      <c r="F291" s="81">
        <f>(E288+E290)*E291</f>
        <v>137.87033333333335</v>
      </c>
    </row>
    <row r="292" spans="1:7" s="50" customFormat="1" ht="11.25" customHeight="1" thickBot="1" x14ac:dyDescent="0.25">
      <c r="A292" s="9"/>
      <c r="B292" s="9"/>
      <c r="C292" s="9"/>
      <c r="D292" s="10"/>
      <c r="E292" s="10"/>
      <c r="F292" s="10"/>
      <c r="G292" s="83"/>
    </row>
    <row r="293" spans="1:7" ht="13.5" thickBot="1" x14ac:dyDescent="0.25">
      <c r="A293" s="24" t="s">
        <v>218</v>
      </c>
      <c r="B293" s="25"/>
      <c r="C293" s="25"/>
      <c r="D293" s="26"/>
      <c r="E293" s="27"/>
      <c r="F293" s="21">
        <f>+F291</f>
        <v>137.87033333333335</v>
      </c>
    </row>
    <row r="294" spans="1:7" ht="11.25" customHeight="1" thickBot="1" x14ac:dyDescent="0.25"/>
    <row r="295" spans="1:7" ht="17.25" customHeight="1" thickBot="1" x14ac:dyDescent="0.25">
      <c r="A295" s="24" t="s">
        <v>223</v>
      </c>
      <c r="B295" s="28"/>
      <c r="C295" s="28"/>
      <c r="D295" s="29"/>
      <c r="E295" s="30"/>
      <c r="F295" s="22">
        <f>+F145+F183+F270+F282+F293</f>
        <v>59455.804993438091</v>
      </c>
    </row>
    <row r="296" spans="1:7" ht="11.25" customHeight="1" x14ac:dyDescent="0.2"/>
    <row r="297" spans="1:7" x14ac:dyDescent="0.2">
      <c r="A297" s="11" t="s">
        <v>87</v>
      </c>
    </row>
    <row r="298" spans="1:7" ht="11.25" customHeight="1" thickBot="1" x14ac:dyDescent="0.25"/>
    <row r="299" spans="1:7" ht="13.5" thickBot="1" x14ac:dyDescent="0.25">
      <c r="A299" s="59" t="s">
        <v>60</v>
      </c>
      <c r="B299" s="60" t="s">
        <v>61</v>
      </c>
      <c r="C299" s="60" t="s">
        <v>36</v>
      </c>
      <c r="D299" s="61" t="s">
        <v>233</v>
      </c>
      <c r="E299" s="61" t="s">
        <v>62</v>
      </c>
      <c r="F299" s="62" t="s">
        <v>63</v>
      </c>
    </row>
    <row r="300" spans="1:7" ht="13.5" thickBot="1" x14ac:dyDescent="0.25">
      <c r="A300" s="13" t="s">
        <v>32</v>
      </c>
      <c r="B300" s="14" t="s">
        <v>2</v>
      </c>
      <c r="C300" s="136">
        <v>27.17</v>
      </c>
      <c r="D300" s="15">
        <f>+F295</f>
        <v>59455.804993438091</v>
      </c>
      <c r="E300" s="15">
        <f>C300*D300/100</f>
        <v>16154.142216717131</v>
      </c>
    </row>
    <row r="301" spans="1:7" ht="13.5" thickBot="1" x14ac:dyDescent="0.25">
      <c r="F301" s="21">
        <f>+E300</f>
        <v>16154.142216717131</v>
      </c>
    </row>
    <row r="302" spans="1:7" ht="11.25" customHeight="1" thickBot="1" x14ac:dyDescent="0.25"/>
    <row r="303" spans="1:7" ht="13.5" thickBot="1" x14ac:dyDescent="0.25">
      <c r="A303" s="24" t="s">
        <v>238</v>
      </c>
      <c r="B303" s="28"/>
      <c r="C303" s="28"/>
      <c r="D303" s="29"/>
      <c r="E303" s="30"/>
      <c r="F303" s="22">
        <f>F301</f>
        <v>16154.142216717131</v>
      </c>
    </row>
    <row r="304" spans="1:7" x14ac:dyDescent="0.2">
      <c r="A304" s="34"/>
      <c r="B304" s="34"/>
      <c r="C304" s="34"/>
      <c r="D304" s="35"/>
      <c r="E304" s="35"/>
      <c r="F304" s="33"/>
    </row>
    <row r="305" spans="1:7" ht="11.25" customHeight="1" thickBot="1" x14ac:dyDescent="0.25"/>
    <row r="306" spans="1:7" ht="24.75" customHeight="1" thickBot="1" x14ac:dyDescent="0.25">
      <c r="A306" s="24" t="s">
        <v>224</v>
      </c>
      <c r="B306" s="28"/>
      <c r="C306" s="28"/>
      <c r="D306" s="29"/>
      <c r="E306" s="30"/>
      <c r="F306" s="22">
        <f>F295+F303</f>
        <v>75609.947210155224</v>
      </c>
    </row>
    <row r="307" spans="1:7" ht="24.75" customHeight="1" x14ac:dyDescent="0.2">
      <c r="A307" s="34"/>
      <c r="B307" s="53"/>
      <c r="C307" s="53"/>
      <c r="D307" s="58"/>
      <c r="E307" s="318"/>
      <c r="F307" s="23"/>
    </row>
    <row r="308" spans="1:7" ht="24.75" customHeight="1" x14ac:dyDescent="0.2">
      <c r="A308" s="34"/>
      <c r="B308" s="53"/>
      <c r="C308" s="53"/>
      <c r="D308" s="58"/>
      <c r="E308" s="318"/>
      <c r="F308" s="23"/>
    </row>
    <row r="309" spans="1:7" ht="24.75" customHeight="1" x14ac:dyDescent="0.2">
      <c r="A309" s="34"/>
      <c r="B309" s="53"/>
      <c r="C309" s="53"/>
      <c r="D309" s="58"/>
      <c r="E309" s="318"/>
      <c r="F309" s="23"/>
    </row>
    <row r="310" spans="1:7" ht="12.6" customHeight="1" x14ac:dyDescent="0.2">
      <c r="A310" s="55"/>
      <c r="B310" s="55"/>
      <c r="C310" s="55"/>
      <c r="D310" s="56"/>
      <c r="E310" s="56"/>
      <c r="F310" s="56"/>
    </row>
    <row r="311" spans="1:7" ht="12.6" customHeight="1" x14ac:dyDescent="0.2">
      <c r="A311" s="55"/>
      <c r="B311" s="55"/>
      <c r="C311" s="55"/>
      <c r="D311" s="56"/>
      <c r="E311" s="56"/>
      <c r="F311" s="56"/>
    </row>
    <row r="312" spans="1:7" s="4" customFormat="1" ht="9.75" customHeight="1" x14ac:dyDescent="0.2">
      <c r="A312" s="38"/>
      <c r="B312" s="10"/>
      <c r="C312" s="10"/>
      <c r="D312" s="10"/>
      <c r="E312" s="10"/>
      <c r="F312" s="10"/>
      <c r="G312" s="6"/>
    </row>
    <row r="342" spans="4:7" ht="9" customHeight="1" x14ac:dyDescent="0.2">
      <c r="D342" s="9"/>
      <c r="E342" s="9"/>
      <c r="F342" s="9"/>
      <c r="G342" s="9"/>
    </row>
  </sheetData>
  <mergeCells count="10">
    <mergeCell ref="A267:B267"/>
    <mergeCell ref="A7:F8"/>
    <mergeCell ref="A48:D48"/>
    <mergeCell ref="A25:C25"/>
    <mergeCell ref="A12:F12"/>
    <mergeCell ref="A13:F13"/>
    <mergeCell ref="A41:D41"/>
    <mergeCell ref="A15:F15"/>
    <mergeCell ref="A40:E40"/>
    <mergeCell ref="A10:F10"/>
  </mergeCells>
  <phoneticPr fontId="9" type="noConversion"/>
  <hyperlinks>
    <hyperlink ref="A205" location="AbaRemun" display="3.1.2. Remuneração do Capital"/>
    <hyperlink ref="A189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66" fitToHeight="0" orientation="portrait" horizontalDpi="1200" verticalDpi="1200" r:id="rId1"/>
  <headerFooter alignWithMargins="0">
    <oddFooter>&amp;R&amp;P de &amp;N</oddFooter>
  </headerFooter>
  <rowBreaks count="4" manualBreakCount="4">
    <brk id="53" max="5" man="1"/>
    <brk id="108" max="5" man="1"/>
    <brk id="184" max="5" man="1"/>
    <brk id="25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5" sqref="D3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3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35"/>
    </row>
    <row r="3" spans="1:12" s="4" customFormat="1" ht="15.6" customHeight="1" x14ac:dyDescent="0.2">
      <c r="B3" s="134"/>
      <c r="C3" s="134"/>
      <c r="D3" s="134"/>
      <c r="E3" s="134"/>
      <c r="F3" s="134"/>
      <c r="G3" s="6"/>
    </row>
    <row r="4" spans="1:12" s="4" customFormat="1" ht="15.6" customHeight="1" x14ac:dyDescent="0.2">
      <c r="A4" s="296"/>
      <c r="B4" s="134"/>
      <c r="C4" s="134"/>
      <c r="D4" s="134"/>
      <c r="E4" s="134"/>
      <c r="F4" s="134"/>
      <c r="G4" s="6"/>
    </row>
    <row r="5" spans="1:12" s="4" customFormat="1" ht="16.5" customHeight="1" x14ac:dyDescent="0.2">
      <c r="A5" s="296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74" t="s">
        <v>227</v>
      </c>
      <c r="B7" s="375"/>
      <c r="C7" s="376"/>
      <c r="D7" s="145"/>
      <c r="E7" s="145"/>
      <c r="F7" s="145"/>
    </row>
    <row r="8" spans="1:12" ht="14.25" x14ac:dyDescent="0.2">
      <c r="A8" s="164" t="s">
        <v>141</v>
      </c>
      <c r="B8" s="165" t="s">
        <v>142</v>
      </c>
      <c r="C8" s="166" t="s">
        <v>143</v>
      </c>
      <c r="D8" s="167"/>
    </row>
    <row r="9" spans="1:12" ht="14.25" x14ac:dyDescent="0.2">
      <c r="A9" s="164" t="s">
        <v>144</v>
      </c>
      <c r="B9" s="165" t="s">
        <v>37</v>
      </c>
      <c r="C9" s="168">
        <v>0.2</v>
      </c>
      <c r="D9" s="167"/>
      <c r="F9" s="153"/>
      <c r="G9" s="153"/>
      <c r="H9" s="153"/>
      <c r="I9" s="153"/>
      <c r="J9" s="153"/>
      <c r="K9" s="153"/>
      <c r="L9" s="153"/>
    </row>
    <row r="10" spans="1:12" ht="14.25" x14ac:dyDescent="0.2">
      <c r="A10" s="164" t="s">
        <v>145</v>
      </c>
      <c r="B10" s="165" t="s">
        <v>146</v>
      </c>
      <c r="C10" s="168">
        <v>1.4999999999999999E-2</v>
      </c>
      <c r="D10" s="167"/>
      <c r="F10" s="153"/>
      <c r="G10" s="153"/>
      <c r="H10" s="153"/>
      <c r="I10" s="153"/>
      <c r="J10" s="153"/>
      <c r="K10" s="153"/>
      <c r="L10" s="153"/>
    </row>
    <row r="11" spans="1:12" ht="14.25" x14ac:dyDescent="0.2">
      <c r="A11" s="164" t="s">
        <v>147</v>
      </c>
      <c r="B11" s="165" t="s">
        <v>148</v>
      </c>
      <c r="C11" s="168">
        <v>0.01</v>
      </c>
      <c r="D11" s="167"/>
      <c r="F11" s="153"/>
      <c r="G11" s="153"/>
      <c r="H11" s="153"/>
      <c r="I11" s="153"/>
      <c r="J11" s="153"/>
      <c r="K11" s="153"/>
      <c r="L11" s="153"/>
    </row>
    <row r="12" spans="1:12" ht="14.25" x14ac:dyDescent="0.2">
      <c r="A12" s="164" t="s">
        <v>149</v>
      </c>
      <c r="B12" s="165" t="s">
        <v>150</v>
      </c>
      <c r="C12" s="168">
        <v>2E-3</v>
      </c>
      <c r="D12" s="167"/>
      <c r="F12" s="153"/>
      <c r="G12" s="153"/>
      <c r="H12" s="153"/>
      <c r="I12" s="153"/>
      <c r="J12" s="153"/>
      <c r="K12" s="153"/>
      <c r="L12" s="153"/>
    </row>
    <row r="13" spans="1:12" ht="14.25" x14ac:dyDescent="0.2">
      <c r="A13" s="164" t="s">
        <v>151</v>
      </c>
      <c r="B13" s="165" t="s">
        <v>152</v>
      </c>
      <c r="C13" s="168">
        <v>6.0000000000000001E-3</v>
      </c>
      <c r="D13" s="167"/>
      <c r="F13" s="153"/>
      <c r="G13" s="153"/>
      <c r="H13" s="153"/>
      <c r="I13" s="153"/>
      <c r="J13" s="153"/>
      <c r="K13" s="153"/>
      <c r="L13" s="153"/>
    </row>
    <row r="14" spans="1:12" ht="14.25" x14ac:dyDescent="0.2">
      <c r="A14" s="164" t="s">
        <v>153</v>
      </c>
      <c r="B14" s="165" t="s">
        <v>154</v>
      </c>
      <c r="C14" s="168">
        <v>2.5000000000000001E-2</v>
      </c>
      <c r="D14" s="167"/>
      <c r="F14" s="153"/>
      <c r="G14" s="153"/>
      <c r="H14" s="153"/>
      <c r="I14" s="153"/>
      <c r="J14" s="153"/>
      <c r="K14" s="153"/>
      <c r="L14" s="153"/>
    </row>
    <row r="15" spans="1:12" ht="14.25" x14ac:dyDescent="0.2">
      <c r="A15" s="164" t="s">
        <v>155</v>
      </c>
      <c r="B15" s="165" t="s">
        <v>156</v>
      </c>
      <c r="C15" s="168">
        <v>0.03</v>
      </c>
      <c r="D15" s="167"/>
      <c r="F15" s="153"/>
      <c r="G15" s="153"/>
      <c r="H15" s="153"/>
      <c r="I15" s="153"/>
      <c r="J15" s="153"/>
      <c r="K15" s="153"/>
      <c r="L15" s="153"/>
    </row>
    <row r="16" spans="1:12" ht="14.25" x14ac:dyDescent="0.2">
      <c r="A16" s="164" t="s">
        <v>157</v>
      </c>
      <c r="B16" s="165" t="s">
        <v>38</v>
      </c>
      <c r="C16" s="168">
        <v>0.08</v>
      </c>
      <c r="D16" s="169"/>
      <c r="F16" s="153"/>
      <c r="G16" s="153"/>
      <c r="H16" s="153"/>
      <c r="I16" s="153"/>
      <c r="J16" s="153"/>
      <c r="K16" s="153"/>
      <c r="L16" s="153"/>
    </row>
    <row r="17" spans="1:12" ht="15" x14ac:dyDescent="0.2">
      <c r="A17" s="164" t="s">
        <v>158</v>
      </c>
      <c r="B17" s="170" t="s">
        <v>159</v>
      </c>
      <c r="C17" s="171">
        <f>SUM(C9:C16)</f>
        <v>0.36800000000000005</v>
      </c>
      <c r="D17" s="169"/>
      <c r="F17" s="153"/>
      <c r="G17" s="153"/>
      <c r="H17" s="153"/>
      <c r="I17" s="153"/>
      <c r="J17" s="153"/>
      <c r="K17" s="153"/>
      <c r="L17" s="153"/>
    </row>
    <row r="18" spans="1:12" ht="15" x14ac:dyDescent="0.2">
      <c r="A18" s="172"/>
      <c r="B18" s="173"/>
      <c r="C18" s="174"/>
      <c r="D18" s="169"/>
      <c r="F18" s="153"/>
      <c r="G18" s="153"/>
      <c r="H18" s="153"/>
      <c r="I18" s="153"/>
      <c r="J18" s="153"/>
      <c r="K18" s="153"/>
      <c r="L18" s="153"/>
    </row>
    <row r="19" spans="1:12" ht="14.25" x14ac:dyDescent="0.2">
      <c r="A19" s="164" t="s">
        <v>160</v>
      </c>
      <c r="B19" s="175" t="s">
        <v>161</v>
      </c>
      <c r="C19" s="168">
        <f>ROUND(IF('3.CAGED'!C28&gt;24,(1-12/'3.CAGED'!C28)*0.1111,0.1111-C28),4)</f>
        <v>6.1899999999999997E-2</v>
      </c>
      <c r="D19" s="169"/>
      <c r="F19" s="153"/>
      <c r="G19" s="153"/>
      <c r="H19" s="153"/>
      <c r="I19" s="153"/>
      <c r="J19" s="153"/>
      <c r="K19" s="153"/>
      <c r="L19" s="153"/>
    </row>
    <row r="20" spans="1:12" ht="14.25" x14ac:dyDescent="0.2">
      <c r="A20" s="164" t="s">
        <v>162</v>
      </c>
      <c r="B20" s="175" t="s">
        <v>163</v>
      </c>
      <c r="C20" s="168">
        <f>ROUND('3.CAGED'!C32/'3.CAGED'!C29,4)</f>
        <v>8.3299999999999999E-2</v>
      </c>
      <c r="D20" s="169"/>
      <c r="F20" s="153"/>
      <c r="G20" s="153"/>
      <c r="H20" s="153"/>
      <c r="I20" s="153"/>
      <c r="J20" s="153"/>
      <c r="K20" s="153"/>
      <c r="L20" s="153"/>
    </row>
    <row r="21" spans="1:12" ht="14.25" x14ac:dyDescent="0.2">
      <c r="A21" s="164" t="s">
        <v>216</v>
      </c>
      <c r="B21" s="175" t="s">
        <v>165</v>
      </c>
      <c r="C21" s="168">
        <v>5.9999999999999995E-4</v>
      </c>
      <c r="D21" s="169"/>
      <c r="F21" s="153"/>
      <c r="G21" s="153"/>
      <c r="H21" s="153"/>
      <c r="I21" s="153"/>
      <c r="J21" s="153"/>
      <c r="K21" s="153"/>
      <c r="L21" s="153"/>
    </row>
    <row r="22" spans="1:12" ht="14.25" x14ac:dyDescent="0.2">
      <c r="A22" s="164" t="s">
        <v>164</v>
      </c>
      <c r="B22" s="175" t="s">
        <v>167</v>
      </c>
      <c r="C22" s="168">
        <v>8.2000000000000007E-3</v>
      </c>
      <c r="D22" s="169"/>
      <c r="F22" s="153"/>
      <c r="G22" s="153"/>
      <c r="H22" s="153"/>
      <c r="I22" s="153"/>
      <c r="J22" s="153"/>
      <c r="K22" s="153"/>
      <c r="L22" s="153"/>
    </row>
    <row r="23" spans="1:12" ht="14.25" x14ac:dyDescent="0.2">
      <c r="A23" s="164" t="s">
        <v>166</v>
      </c>
      <c r="B23" s="175" t="s">
        <v>169</v>
      </c>
      <c r="C23" s="168">
        <v>3.0999999999999999E-3</v>
      </c>
      <c r="D23" s="169"/>
      <c r="F23" s="153"/>
      <c r="G23" s="153"/>
      <c r="H23" s="153"/>
      <c r="I23" s="153"/>
      <c r="J23" s="153"/>
      <c r="K23" s="153"/>
      <c r="L23" s="153"/>
    </row>
    <row r="24" spans="1:12" ht="14.25" x14ac:dyDescent="0.2">
      <c r="A24" s="164" t="s">
        <v>168</v>
      </c>
      <c r="B24" s="175" t="s">
        <v>170</v>
      </c>
      <c r="C24" s="168">
        <v>1.66E-2</v>
      </c>
      <c r="D24" s="169"/>
      <c r="F24" s="153"/>
      <c r="G24" s="153"/>
      <c r="H24" s="153"/>
      <c r="I24" s="153"/>
      <c r="J24" s="153"/>
      <c r="K24" s="153"/>
      <c r="L24" s="153"/>
    </row>
    <row r="25" spans="1:12" ht="15" x14ac:dyDescent="0.2">
      <c r="A25" s="164" t="s">
        <v>171</v>
      </c>
      <c r="B25" s="170" t="s">
        <v>172</v>
      </c>
      <c r="C25" s="171">
        <f>SUM(C19:C24)</f>
        <v>0.17369999999999999</v>
      </c>
      <c r="D25" s="176"/>
      <c r="F25" s="153"/>
      <c r="G25" s="153"/>
      <c r="H25" s="153"/>
      <c r="I25" s="153"/>
      <c r="J25" s="153"/>
      <c r="K25" s="153"/>
      <c r="L25" s="153"/>
    </row>
    <row r="26" spans="1:12" ht="15" x14ac:dyDescent="0.2">
      <c r="A26" s="172"/>
      <c r="B26" s="173"/>
      <c r="C26" s="174"/>
      <c r="D26" s="176"/>
      <c r="F26" s="153"/>
      <c r="G26" s="153"/>
      <c r="H26" s="153"/>
      <c r="I26" s="153"/>
      <c r="J26" s="153"/>
      <c r="K26" s="153"/>
      <c r="L26" s="153"/>
    </row>
    <row r="27" spans="1:12" ht="14.25" x14ac:dyDescent="0.2">
      <c r="A27" s="164" t="s">
        <v>173</v>
      </c>
      <c r="B27" s="165" t="s">
        <v>174</v>
      </c>
      <c r="C27" s="168">
        <f>ROUND(('3.CAGED'!C33) *'3.CAGED'!C26/'3.CAGED'!C29,4)</f>
        <v>2.5600000000000001E-2</v>
      </c>
      <c r="D27" s="169"/>
      <c r="E27" s="177"/>
      <c r="F27" s="153"/>
      <c r="G27" s="153"/>
      <c r="H27" s="153"/>
      <c r="I27" s="153"/>
      <c r="J27" s="153"/>
      <c r="K27" s="153"/>
      <c r="L27" s="153"/>
    </row>
    <row r="28" spans="1:12" ht="14.25" x14ac:dyDescent="0.2">
      <c r="A28" s="164" t="s">
        <v>215</v>
      </c>
      <c r="B28" s="165" t="s">
        <v>176</v>
      </c>
      <c r="C28" s="168">
        <f>ROUND(IF('3.CAGED'!C28&gt;12,12/'3.CAGED'!C28*0.1111,0.1111),4)</f>
        <v>4.9200000000000001E-2</v>
      </c>
      <c r="D28" s="169"/>
      <c r="F28" s="153"/>
      <c r="G28" s="153"/>
      <c r="H28" s="178"/>
      <c r="I28" s="153"/>
      <c r="J28" s="153"/>
      <c r="K28" s="153"/>
      <c r="L28" s="153"/>
    </row>
    <row r="29" spans="1:12" ht="14.25" x14ac:dyDescent="0.2">
      <c r="A29" s="164" t="s">
        <v>175</v>
      </c>
      <c r="B29" s="165" t="s">
        <v>178</v>
      </c>
      <c r="C29" s="168">
        <f>C27*C28</f>
        <v>1.2595200000000001E-3</v>
      </c>
      <c r="D29" s="169"/>
      <c r="E29" s="177"/>
      <c r="F29" s="153"/>
      <c r="G29" s="153"/>
      <c r="H29" s="153"/>
      <c r="I29" s="153"/>
      <c r="J29" s="153"/>
      <c r="K29" s="153"/>
      <c r="L29" s="153"/>
    </row>
    <row r="30" spans="1:12" ht="14.25" x14ac:dyDescent="0.2">
      <c r="A30" s="164" t="s">
        <v>177</v>
      </c>
      <c r="B30" s="165" t="s">
        <v>180</v>
      </c>
      <c r="C30" s="168">
        <f>ROUND(('3.CAGED'!C29+'3.CAGED'!C30+'3.CAGED'!C32)/'3.CAGED'!C27*'3.CAGED'!C34*'3.CAGED'!C35*'3.CAGED'!C26/'3.CAGED'!C29,4)</f>
        <v>2.0500000000000001E-2</v>
      </c>
      <c r="D30" s="169"/>
      <c r="F30" s="153"/>
      <c r="G30" s="179"/>
      <c r="H30" s="153"/>
      <c r="I30" s="153"/>
      <c r="J30" s="153"/>
      <c r="K30" s="153"/>
      <c r="L30" s="153"/>
    </row>
    <row r="31" spans="1:12" ht="14.25" x14ac:dyDescent="0.2">
      <c r="A31" s="164" t="s">
        <v>179</v>
      </c>
      <c r="B31" s="165" t="s">
        <v>181</v>
      </c>
      <c r="C31" s="168">
        <f>ROUND(('3.CAGED'!C31/'3.CAGED'!C29)*'3.CAGED'!C26/12,4)</f>
        <v>1.8E-3</v>
      </c>
      <c r="D31" s="169"/>
      <c r="F31" s="153"/>
      <c r="G31" s="153"/>
      <c r="H31" s="153"/>
      <c r="I31" s="153"/>
      <c r="J31" s="153"/>
      <c r="K31" s="153"/>
      <c r="L31" s="153"/>
    </row>
    <row r="32" spans="1:12" ht="15" x14ac:dyDescent="0.2">
      <c r="A32" s="164" t="s">
        <v>182</v>
      </c>
      <c r="B32" s="170" t="s">
        <v>183</v>
      </c>
      <c r="C32" s="171">
        <f>SUM(C27:C31)</f>
        <v>9.8359520000000006E-2</v>
      </c>
      <c r="D32" s="176"/>
      <c r="F32" s="153"/>
      <c r="G32" s="153"/>
      <c r="H32" s="153"/>
      <c r="I32" s="153"/>
      <c r="J32" s="153"/>
      <c r="K32" s="153"/>
      <c r="L32" s="153"/>
    </row>
    <row r="33" spans="1:12" ht="15" x14ac:dyDescent="0.2">
      <c r="A33" s="172"/>
      <c r="B33" s="173"/>
      <c r="C33" s="174"/>
      <c r="D33" s="176"/>
      <c r="F33" s="153"/>
      <c r="G33" s="153"/>
      <c r="H33" s="153"/>
      <c r="I33" s="153"/>
      <c r="J33" s="153"/>
      <c r="K33" s="153"/>
      <c r="L33" s="153"/>
    </row>
    <row r="34" spans="1:12" ht="14.25" x14ac:dyDescent="0.2">
      <c r="A34" s="164" t="s">
        <v>184</v>
      </c>
      <c r="B34" s="165" t="s">
        <v>185</v>
      </c>
      <c r="C34" s="168">
        <f>ROUND(C17*C25,4)</f>
        <v>6.3899999999999998E-2</v>
      </c>
      <c r="D34" s="169"/>
      <c r="F34" s="153"/>
      <c r="G34" s="153"/>
      <c r="H34" s="153"/>
      <c r="I34" s="153"/>
      <c r="J34" s="153"/>
      <c r="K34" s="153"/>
      <c r="L34" s="153"/>
    </row>
    <row r="35" spans="1:12" ht="28.5" x14ac:dyDescent="0.2">
      <c r="A35" s="164" t="s">
        <v>186</v>
      </c>
      <c r="B35" s="180" t="s">
        <v>282</v>
      </c>
      <c r="C35" s="168">
        <f>ROUND((C27*C16),4)</f>
        <v>2E-3</v>
      </c>
      <c r="D35" s="169"/>
      <c r="F35" s="153"/>
      <c r="G35" s="153"/>
      <c r="H35" s="153"/>
      <c r="I35" s="153"/>
      <c r="J35" s="153"/>
      <c r="K35" s="153"/>
      <c r="L35" s="153"/>
    </row>
    <row r="36" spans="1:12" ht="15" x14ac:dyDescent="0.2">
      <c r="A36" s="164" t="s">
        <v>187</v>
      </c>
      <c r="B36" s="170" t="s">
        <v>188</v>
      </c>
      <c r="C36" s="171">
        <f>SUM(C34:C35)</f>
        <v>6.59E-2</v>
      </c>
      <c r="D36" s="181"/>
      <c r="F36" s="153"/>
      <c r="G36" s="153"/>
      <c r="H36" s="153"/>
      <c r="I36" s="153"/>
      <c r="J36" s="153"/>
      <c r="K36" s="153"/>
      <c r="L36" s="153"/>
    </row>
    <row r="37" spans="1:12" ht="15.75" thickBot="1" x14ac:dyDescent="0.25">
      <c r="A37" s="182"/>
      <c r="B37" s="183" t="s">
        <v>189</v>
      </c>
      <c r="C37" s="184">
        <f>C36+C32+C25+C17</f>
        <v>0.70595951999999995</v>
      </c>
      <c r="D37" s="181"/>
      <c r="F37" s="153"/>
      <c r="G37" s="153"/>
      <c r="H37" s="153"/>
      <c r="I37" s="153"/>
      <c r="J37" s="153"/>
      <c r="K37" s="153"/>
      <c r="L37" s="153"/>
    </row>
    <row r="38" spans="1:12" ht="15" x14ac:dyDescent="0.2">
      <c r="A38" s="169"/>
      <c r="B38" s="185"/>
      <c r="C38" s="186"/>
      <c r="D38" s="187"/>
      <c r="F38" s="153"/>
      <c r="G38" s="153"/>
      <c r="H38" s="153"/>
      <c r="I38" s="153"/>
      <c r="J38" s="153"/>
      <c r="K38" s="153"/>
      <c r="L38" s="153"/>
    </row>
    <row r="39" spans="1:12" ht="14.25" x14ac:dyDescent="0.2">
      <c r="A39" s="169"/>
      <c r="B39" s="169"/>
      <c r="C39" s="188"/>
      <c r="D39" s="189"/>
      <c r="F39" s="153"/>
      <c r="G39" s="153"/>
      <c r="H39" s="153"/>
      <c r="I39" s="153"/>
      <c r="J39" s="153"/>
      <c r="K39" s="153"/>
      <c r="L39" s="153"/>
    </row>
    <row r="40" spans="1:12" ht="14.25" x14ac:dyDescent="0.2">
      <c r="A40" s="167"/>
      <c r="B40" s="167"/>
      <c r="C40" s="190"/>
      <c r="D40" s="167"/>
      <c r="F40" s="153"/>
      <c r="G40" s="153"/>
      <c r="H40" s="153"/>
      <c r="I40" s="153"/>
      <c r="J40" s="153"/>
      <c r="K40" s="153"/>
      <c r="L40" s="153"/>
    </row>
    <row r="41" spans="1:12" ht="14.25" x14ac:dyDescent="0.2">
      <c r="A41" s="167"/>
      <c r="B41" s="167"/>
      <c r="C41" s="190"/>
      <c r="D41" s="167"/>
      <c r="F41" s="153"/>
      <c r="G41" s="153"/>
      <c r="H41" s="153"/>
      <c r="I41" s="153"/>
      <c r="J41" s="153"/>
      <c r="K41" s="153"/>
      <c r="L41" s="153"/>
    </row>
    <row r="42" spans="1:12" ht="14.25" x14ac:dyDescent="0.2">
      <c r="A42" s="167"/>
      <c r="B42" s="167"/>
      <c r="C42" s="190"/>
      <c r="D42" s="167"/>
      <c r="F42" s="153"/>
      <c r="G42" s="153"/>
      <c r="H42" s="153"/>
      <c r="I42" s="153"/>
      <c r="J42" s="153"/>
      <c r="K42" s="153"/>
      <c r="L42" s="153"/>
    </row>
    <row r="43" spans="1:12" ht="15" x14ac:dyDescent="0.2">
      <c r="A43" s="167"/>
      <c r="B43" s="191"/>
      <c r="C43" s="192"/>
      <c r="D43" s="167"/>
      <c r="F43" s="153"/>
      <c r="G43" s="153"/>
      <c r="H43" s="153"/>
      <c r="I43" s="153"/>
      <c r="J43" s="153"/>
      <c r="K43" s="153"/>
      <c r="L43" s="153"/>
    </row>
    <row r="44" spans="1:12" ht="15" x14ac:dyDescent="0.2">
      <c r="A44" s="181"/>
      <c r="B44" s="191"/>
      <c r="C44" s="192"/>
      <c r="D44" s="181"/>
      <c r="E44" s="153"/>
      <c r="F44" s="153"/>
      <c r="G44" s="153"/>
      <c r="H44" s="153"/>
      <c r="I44" s="153"/>
      <c r="J44" s="153"/>
      <c r="K44" s="153"/>
      <c r="L44" s="153"/>
    </row>
    <row r="45" spans="1:12" ht="16.5" x14ac:dyDescent="0.2">
      <c r="A45" s="193"/>
      <c r="B45" s="153"/>
      <c r="C45" s="153"/>
      <c r="E45" s="153"/>
      <c r="F45" s="153"/>
      <c r="G45" s="153"/>
      <c r="H45" s="153"/>
      <c r="I45" s="153"/>
      <c r="J45" s="153"/>
      <c r="K45" s="153"/>
      <c r="L45" s="153"/>
    </row>
    <row r="46" spans="1:12" x14ac:dyDescent="0.2">
      <c r="A46" s="194"/>
      <c r="B46" s="195"/>
      <c r="C46" s="195"/>
      <c r="E46" s="153"/>
      <c r="F46" s="153"/>
      <c r="G46" s="153"/>
      <c r="H46" s="153"/>
      <c r="I46" s="153"/>
      <c r="J46" s="153"/>
      <c r="K46" s="153"/>
      <c r="L46" s="153"/>
    </row>
    <row r="47" spans="1:12" ht="14.25" x14ac:dyDescent="0.2">
      <c r="A47" s="167"/>
      <c r="B47" s="196"/>
      <c r="C47" s="195"/>
      <c r="E47" s="153"/>
      <c r="F47" s="153"/>
      <c r="G47" s="153"/>
      <c r="H47" s="153"/>
      <c r="I47" s="153"/>
      <c r="J47" s="153"/>
      <c r="K47" s="153"/>
      <c r="L47" s="153"/>
    </row>
    <row r="48" spans="1:12" ht="14.25" x14ac:dyDescent="0.2">
      <c r="A48" s="167"/>
      <c r="B48" s="196"/>
      <c r="C48" s="167"/>
      <c r="E48" s="153"/>
      <c r="F48" s="153"/>
      <c r="G48" s="153"/>
      <c r="H48" s="153"/>
      <c r="I48" s="153"/>
      <c r="J48" s="153"/>
      <c r="K48" s="153"/>
      <c r="L48" s="153"/>
    </row>
    <row r="49" spans="1:12" ht="14.25" x14ac:dyDescent="0.2">
      <c r="A49" s="167"/>
      <c r="B49" s="190"/>
      <c r="C49" s="195"/>
      <c r="E49" s="153"/>
      <c r="F49" s="153"/>
      <c r="G49" s="153"/>
      <c r="H49" s="153"/>
      <c r="I49" s="153"/>
      <c r="J49" s="153"/>
      <c r="K49" s="153"/>
      <c r="L49" s="153"/>
    </row>
    <row r="50" spans="1:12" ht="14.25" x14ac:dyDescent="0.2">
      <c r="A50" s="167"/>
      <c r="B50" s="196"/>
      <c r="C50" s="167"/>
      <c r="E50" s="153"/>
      <c r="F50" s="153"/>
      <c r="G50" s="153"/>
      <c r="H50" s="153"/>
      <c r="I50" s="153"/>
      <c r="J50" s="153"/>
      <c r="K50" s="153"/>
      <c r="L50" s="153"/>
    </row>
    <row r="51" spans="1:12" ht="14.25" x14ac:dyDescent="0.2">
      <c r="A51" s="167"/>
      <c r="B51" s="190"/>
      <c r="C51" s="195"/>
      <c r="E51" s="153"/>
      <c r="F51" s="153"/>
      <c r="G51" s="153"/>
      <c r="H51" s="153"/>
      <c r="I51" s="153"/>
      <c r="J51" s="153"/>
      <c r="K51" s="153"/>
      <c r="L51" s="153"/>
    </row>
    <row r="52" spans="1:12" ht="14.25" x14ac:dyDescent="0.2">
      <c r="A52" s="167"/>
      <c r="B52" s="196"/>
      <c r="C52" s="167"/>
      <c r="E52" s="153"/>
      <c r="F52" s="153"/>
      <c r="G52" s="153"/>
      <c r="H52" s="153"/>
      <c r="I52" s="153"/>
      <c r="J52" s="153"/>
      <c r="K52" s="153"/>
      <c r="L52" s="153"/>
    </row>
    <row r="53" spans="1:12" ht="14.25" x14ac:dyDescent="0.2">
      <c r="A53" s="167"/>
      <c r="B53" s="190"/>
      <c r="C53" s="195"/>
      <c r="E53" s="153"/>
      <c r="F53" s="153"/>
      <c r="G53" s="153"/>
      <c r="H53" s="153"/>
      <c r="I53" s="153"/>
      <c r="J53" s="153"/>
      <c r="K53" s="153"/>
      <c r="L53" s="153"/>
    </row>
    <row r="54" spans="1:12" ht="14.25" x14ac:dyDescent="0.2">
      <c r="A54" s="167"/>
      <c r="B54" s="196"/>
      <c r="C54" s="167"/>
      <c r="E54" s="153"/>
      <c r="F54" s="153"/>
      <c r="G54" s="153"/>
      <c r="H54" s="153"/>
      <c r="I54" s="153"/>
      <c r="J54" s="153"/>
      <c r="K54" s="153"/>
      <c r="L54" s="153"/>
    </row>
    <row r="55" spans="1:12" ht="14.25" x14ac:dyDescent="0.2">
      <c r="A55" s="167"/>
      <c r="B55" s="190"/>
      <c r="C55" s="195"/>
      <c r="E55" s="153"/>
      <c r="F55" s="153"/>
      <c r="G55" s="153"/>
      <c r="H55" s="153"/>
      <c r="I55" s="153"/>
      <c r="J55" s="153"/>
      <c r="K55" s="153"/>
      <c r="L55" s="153"/>
    </row>
    <row r="56" spans="1:12" ht="16.5" x14ac:dyDescent="0.2">
      <c r="A56" s="193"/>
      <c r="B56" s="153"/>
      <c r="C56" s="153"/>
      <c r="E56" s="153"/>
      <c r="F56" s="153"/>
      <c r="G56" s="153"/>
      <c r="H56" s="153"/>
      <c r="I56" s="153"/>
      <c r="J56" s="153"/>
      <c r="K56" s="153"/>
      <c r="L56" s="153"/>
    </row>
    <row r="57" spans="1:12" x14ac:dyDescent="0.2">
      <c r="A57" s="153"/>
      <c r="B57" s="153"/>
      <c r="C57" s="153"/>
      <c r="E57" s="153"/>
      <c r="F57" s="153"/>
      <c r="G57" s="153"/>
      <c r="H57" s="153"/>
      <c r="I57" s="153"/>
      <c r="J57" s="153"/>
      <c r="K57" s="153"/>
      <c r="L57" s="153"/>
    </row>
    <row r="58" spans="1:12" x14ac:dyDescent="0.2">
      <c r="A58" s="153"/>
      <c r="B58" s="153"/>
      <c r="C58" s="153"/>
      <c r="E58" s="153"/>
      <c r="F58" s="153"/>
      <c r="G58" s="153"/>
      <c r="H58" s="153"/>
      <c r="I58" s="153"/>
      <c r="J58" s="153"/>
      <c r="K58" s="153"/>
      <c r="L58" s="153"/>
    </row>
    <row r="59" spans="1:12" x14ac:dyDescent="0.2">
      <c r="A59" s="197"/>
      <c r="B59" s="153"/>
      <c r="C59" s="153"/>
      <c r="E59" s="153"/>
      <c r="F59" s="153"/>
      <c r="G59" s="153"/>
      <c r="H59" s="153"/>
      <c r="I59" s="153"/>
      <c r="J59" s="153"/>
      <c r="K59" s="153"/>
      <c r="L59" s="153"/>
    </row>
    <row r="60" spans="1:12" x14ac:dyDescent="0.2">
      <c r="A60" s="153"/>
      <c r="B60" s="153"/>
      <c r="C60" s="153"/>
      <c r="E60" s="153"/>
    </row>
    <row r="61" spans="1:12" x14ac:dyDescent="0.2">
      <c r="A61" s="153"/>
      <c r="B61" s="153"/>
      <c r="C61" s="153"/>
      <c r="E61" s="153"/>
    </row>
    <row r="62" spans="1:12" x14ac:dyDescent="0.2">
      <c r="A62" s="153"/>
      <c r="B62" s="153"/>
      <c r="C62" s="153"/>
      <c r="E62" s="153"/>
    </row>
    <row r="63" spans="1:12" x14ac:dyDescent="0.2">
      <c r="A63" s="153"/>
      <c r="B63" s="153"/>
      <c r="C63" s="153"/>
      <c r="E63" s="153"/>
    </row>
    <row r="64" spans="1:12" x14ac:dyDescent="0.2">
      <c r="A64" s="153"/>
      <c r="B64" s="153"/>
      <c r="C64" s="153"/>
      <c r="E64" s="153"/>
    </row>
    <row r="65" spans="1:5" x14ac:dyDescent="0.2">
      <c r="A65" s="153"/>
      <c r="B65" s="153"/>
      <c r="C65" s="153"/>
      <c r="E65" s="153"/>
    </row>
    <row r="66" spans="1:5" x14ac:dyDescent="0.2">
      <c r="A66" s="153"/>
      <c r="B66" s="153"/>
      <c r="C66" s="153"/>
      <c r="E66" s="153"/>
    </row>
    <row r="67" spans="1:5" x14ac:dyDescent="0.2">
      <c r="A67" s="153"/>
      <c r="B67" s="153"/>
      <c r="C67" s="153"/>
      <c r="E67" s="153"/>
    </row>
    <row r="68" spans="1:5" x14ac:dyDescent="0.2">
      <c r="A68" s="153"/>
      <c r="B68" s="153"/>
      <c r="C68" s="153"/>
      <c r="E68" s="153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3" t="s">
        <v>239</v>
      </c>
    </row>
    <row r="3" spans="1:3" x14ac:dyDescent="0.2">
      <c r="A3" s="379" t="s">
        <v>292</v>
      </c>
      <c r="B3" s="379"/>
      <c r="C3" s="379"/>
    </row>
    <row r="4" spans="1:3" x14ac:dyDescent="0.2">
      <c r="A4" s="379"/>
      <c r="B4" s="379"/>
      <c r="C4" s="379"/>
    </row>
    <row r="5" spans="1:3" x14ac:dyDescent="0.2">
      <c r="A5" s="298"/>
    </row>
    <row r="6" spans="1:3" ht="13.5" thickBot="1" x14ac:dyDescent="0.25"/>
    <row r="7" spans="1:3" ht="18" x14ac:dyDescent="0.25">
      <c r="B7" s="377" t="s">
        <v>225</v>
      </c>
      <c r="C7" s="378"/>
    </row>
    <row r="8" spans="1:3" ht="15" x14ac:dyDescent="0.25">
      <c r="A8" s="153"/>
      <c r="B8" s="152" t="s">
        <v>204</v>
      </c>
      <c r="C8" s="198"/>
    </row>
    <row r="9" spans="1:3" ht="15" x14ac:dyDescent="0.25">
      <c r="A9" s="153"/>
      <c r="B9" s="154" t="s">
        <v>125</v>
      </c>
      <c r="C9" s="155">
        <v>2100</v>
      </c>
    </row>
    <row r="10" spans="1:3" ht="15" x14ac:dyDescent="0.25">
      <c r="A10" s="153"/>
      <c r="B10" s="156" t="s">
        <v>126</v>
      </c>
      <c r="C10" s="155">
        <v>2031</v>
      </c>
    </row>
    <row r="11" spans="1:3" ht="14.25" x14ac:dyDescent="0.2">
      <c r="A11" s="153"/>
      <c r="B11" s="199" t="s">
        <v>127</v>
      </c>
      <c r="C11" s="200">
        <v>44</v>
      </c>
    </row>
    <row r="12" spans="1:3" ht="14.25" x14ac:dyDescent="0.2">
      <c r="A12" s="153"/>
      <c r="B12" s="199" t="s">
        <v>128</v>
      </c>
      <c r="C12" s="200">
        <v>1192</v>
      </c>
    </row>
    <row r="13" spans="1:3" ht="14.25" x14ac:dyDescent="0.2">
      <c r="A13" s="153"/>
      <c r="B13" s="199" t="s">
        <v>129</v>
      </c>
      <c r="C13" s="200">
        <v>372</v>
      </c>
    </row>
    <row r="14" spans="1:3" ht="14.25" x14ac:dyDescent="0.2">
      <c r="A14" s="153"/>
      <c r="B14" s="199" t="s">
        <v>130</v>
      </c>
      <c r="C14" s="200">
        <v>22</v>
      </c>
    </row>
    <row r="15" spans="1:3" ht="14.25" x14ac:dyDescent="0.2">
      <c r="A15" s="153"/>
      <c r="B15" s="199" t="s">
        <v>131</v>
      </c>
      <c r="C15" s="200">
        <v>350</v>
      </c>
    </row>
    <row r="16" spans="1:3" ht="14.25" x14ac:dyDescent="0.2">
      <c r="A16" s="153"/>
      <c r="B16" s="199" t="s">
        <v>132</v>
      </c>
      <c r="C16" s="200">
        <v>1</v>
      </c>
    </row>
    <row r="17" spans="1:5" ht="14.25" x14ac:dyDescent="0.2">
      <c r="A17" s="153"/>
      <c r="B17" s="199" t="s">
        <v>133</v>
      </c>
      <c r="C17" s="200">
        <v>30</v>
      </c>
    </row>
    <row r="18" spans="1:5" ht="14.25" x14ac:dyDescent="0.2">
      <c r="A18" s="153"/>
      <c r="B18" s="201" t="s">
        <v>134</v>
      </c>
      <c r="C18" s="202">
        <v>0</v>
      </c>
    </row>
    <row r="19" spans="1:5" ht="14.25" x14ac:dyDescent="0.2">
      <c r="A19" s="153"/>
      <c r="B19" s="304" t="s">
        <v>288</v>
      </c>
      <c r="C19" s="202">
        <v>0</v>
      </c>
    </row>
    <row r="20" spans="1:5" ht="15" x14ac:dyDescent="0.25">
      <c r="A20" s="153" t="s">
        <v>135</v>
      </c>
      <c r="B20" s="152" t="s">
        <v>136</v>
      </c>
      <c r="C20" s="198"/>
    </row>
    <row r="21" spans="1:5" ht="14.25" x14ac:dyDescent="0.2">
      <c r="A21" s="153"/>
      <c r="B21" s="203" t="s">
        <v>290</v>
      </c>
      <c r="C21" s="204">
        <v>4625</v>
      </c>
    </row>
    <row r="22" spans="1:5" ht="14.25" x14ac:dyDescent="0.2">
      <c r="A22" s="153"/>
      <c r="B22" s="199" t="s">
        <v>291</v>
      </c>
      <c r="C22" s="200">
        <v>4694</v>
      </c>
    </row>
    <row r="23" spans="1:5" ht="14.25" x14ac:dyDescent="0.2">
      <c r="B23" s="199" t="s">
        <v>289</v>
      </c>
      <c r="C23" s="297">
        <f>C9-C10</f>
        <v>69</v>
      </c>
    </row>
    <row r="24" spans="1:5" ht="14.25" x14ac:dyDescent="0.2">
      <c r="B24" s="205"/>
      <c r="C24" s="206"/>
    </row>
    <row r="25" spans="1:5" s="103" customFormat="1" ht="15" x14ac:dyDescent="0.25">
      <c r="B25" s="154" t="s">
        <v>138</v>
      </c>
      <c r="C25" s="207">
        <f>MEDIAN(C21,C22)</f>
        <v>4659.5</v>
      </c>
    </row>
    <row r="26" spans="1:5" ht="15" x14ac:dyDescent="0.25">
      <c r="B26" s="156" t="s">
        <v>286</v>
      </c>
      <c r="C26" s="302">
        <f>C12/C25</f>
        <v>0.25582144006867691</v>
      </c>
    </row>
    <row r="27" spans="1:5" ht="15" x14ac:dyDescent="0.25">
      <c r="B27" s="156" t="s">
        <v>287</v>
      </c>
      <c r="C27" s="302">
        <f>MEDIAN(C9,C10)/C25</f>
        <v>0.44328790642772831</v>
      </c>
      <c r="E27" s="268"/>
    </row>
    <row r="28" spans="1:5" s="103" customFormat="1" ht="15" x14ac:dyDescent="0.25">
      <c r="B28" s="156" t="s">
        <v>244</v>
      </c>
      <c r="C28" s="300">
        <f>12/C27</f>
        <v>27.070442992011618</v>
      </c>
    </row>
    <row r="29" spans="1:5" ht="15" x14ac:dyDescent="0.25">
      <c r="B29" s="156" t="s">
        <v>137</v>
      </c>
      <c r="C29" s="158">
        <v>360</v>
      </c>
    </row>
    <row r="30" spans="1:5" ht="15" x14ac:dyDescent="0.25">
      <c r="B30" s="156" t="s">
        <v>240</v>
      </c>
      <c r="C30" s="158">
        <v>10</v>
      </c>
    </row>
    <row r="31" spans="1:5" ht="15" x14ac:dyDescent="0.25">
      <c r="B31" s="154" t="s">
        <v>241</v>
      </c>
      <c r="C31" s="157">
        <v>30</v>
      </c>
    </row>
    <row r="32" spans="1:5" ht="15" x14ac:dyDescent="0.25">
      <c r="B32" s="154" t="s">
        <v>242</v>
      </c>
      <c r="C32" s="157">
        <v>30</v>
      </c>
    </row>
    <row r="33" spans="2:3" s="103" customFormat="1" ht="15" x14ac:dyDescent="0.25">
      <c r="B33" s="154" t="s">
        <v>140</v>
      </c>
      <c r="C33" s="157">
        <f>30+(3*TRUNC(1/C27))</f>
        <v>36</v>
      </c>
    </row>
    <row r="34" spans="2:3" s="103" customFormat="1" ht="15" x14ac:dyDescent="0.25">
      <c r="B34" s="156" t="s">
        <v>38</v>
      </c>
      <c r="C34" s="301">
        <v>0.08</v>
      </c>
    </row>
    <row r="35" spans="2:3" s="103" customFormat="1" ht="15.75" thickBot="1" x14ac:dyDescent="0.3">
      <c r="B35" s="159" t="s">
        <v>139</v>
      </c>
      <c r="C35" s="303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"/>
  <sheetViews>
    <sheetView topLeftCell="A7" zoomScaleNormal="100" workbookViewId="0">
      <selection activeCell="C27" sqref="C27"/>
    </sheetView>
  </sheetViews>
  <sheetFormatPr defaultRowHeight="12.75" x14ac:dyDescent="0.2"/>
  <cols>
    <col min="1" max="1" width="41.85546875" bestFit="1" customWidth="1"/>
    <col min="2" max="2" width="5.5703125" bestFit="1" customWidth="1"/>
    <col min="3" max="3" width="12.5703125" customWidth="1"/>
    <col min="4" max="4" width="9.7109375" bestFit="1" customWidth="1"/>
    <col min="5" max="5" width="8" style="118" bestFit="1" customWidth="1"/>
    <col min="6" max="6" width="9.7109375" bestFit="1" customWidth="1"/>
  </cols>
  <sheetData>
    <row r="1" spans="1:8" s="142" customFormat="1" ht="14.25" x14ac:dyDescent="0.2">
      <c r="A1" s="11"/>
      <c r="B1" s="140"/>
      <c r="C1" s="140"/>
      <c r="E1" s="143"/>
    </row>
    <row r="2" spans="1:8" s="142" customFormat="1" ht="14.25" x14ac:dyDescent="0.2">
      <c r="A2" s="135"/>
      <c r="B2" s="140"/>
      <c r="C2" s="140"/>
      <c r="E2" s="143"/>
    </row>
    <row r="3" spans="1:8" s="142" customFormat="1" ht="14.25" x14ac:dyDescent="0.2">
      <c r="A3" s="9"/>
      <c r="B3" s="140"/>
      <c r="C3" s="140"/>
      <c r="E3" s="143"/>
    </row>
    <row r="4" spans="1:8" s="142" customFormat="1" ht="14.25" x14ac:dyDescent="0.2">
      <c r="A4" s="9"/>
      <c r="B4" s="140"/>
      <c r="C4" s="140"/>
      <c r="E4" s="143"/>
    </row>
    <row r="5" spans="1:8" s="4" customFormat="1" ht="15.6" customHeight="1" x14ac:dyDescent="0.2">
      <c r="A5" s="296"/>
      <c r="B5" s="134"/>
      <c r="C5" s="134"/>
      <c r="D5" s="134"/>
      <c r="E5" s="134"/>
      <c r="F5" s="134"/>
      <c r="G5" s="6"/>
    </row>
    <row r="6" spans="1:8" s="4" customFormat="1" ht="16.5" customHeight="1" x14ac:dyDescent="0.2">
      <c r="A6" s="296"/>
      <c r="B6" s="5"/>
      <c r="C6" s="5"/>
      <c r="D6" s="6"/>
      <c r="E6" s="6"/>
      <c r="F6" s="6"/>
      <c r="G6" s="6"/>
    </row>
    <row r="7" spans="1:8" s="142" customFormat="1" ht="15" thickBot="1" x14ac:dyDescent="0.25">
      <c r="B7" s="140"/>
      <c r="C7" s="140"/>
      <c r="E7" s="143"/>
    </row>
    <row r="8" spans="1:8" ht="15.75" x14ac:dyDescent="0.2">
      <c r="A8" s="385" t="s">
        <v>226</v>
      </c>
      <c r="B8" s="386"/>
      <c r="C8" s="386"/>
      <c r="D8" s="386"/>
      <c r="E8" s="386"/>
      <c r="F8" s="387"/>
    </row>
    <row r="9" spans="1:8" ht="16.5" thickBot="1" x14ac:dyDescent="0.25">
      <c r="A9" s="253"/>
      <c r="B9" s="254"/>
      <c r="C9" s="254"/>
      <c r="D9" s="254"/>
      <c r="E9" s="254"/>
      <c r="F9" s="255"/>
    </row>
    <row r="10" spans="1:8" ht="15" x14ac:dyDescent="0.25">
      <c r="A10" s="208"/>
      <c r="B10" s="141"/>
      <c r="C10" s="141"/>
      <c r="D10" s="382" t="s">
        <v>243</v>
      </c>
      <c r="E10" s="383"/>
      <c r="F10" s="384"/>
      <c r="G10" s="142"/>
      <c r="H10" s="142"/>
    </row>
    <row r="11" spans="1:8" ht="15" thickBot="1" x14ac:dyDescent="0.25">
      <c r="A11" s="205"/>
      <c r="B11" s="209"/>
      <c r="C11" s="209"/>
      <c r="D11" s="210" t="s">
        <v>190</v>
      </c>
      <c r="E11" s="211" t="s">
        <v>191</v>
      </c>
      <c r="F11" s="212" t="s">
        <v>192</v>
      </c>
      <c r="G11" s="142"/>
      <c r="H11" s="142"/>
    </row>
    <row r="12" spans="1:8" ht="14.25" x14ac:dyDescent="0.2">
      <c r="A12" s="213" t="s">
        <v>73</v>
      </c>
      <c r="B12" s="214" t="s">
        <v>74</v>
      </c>
      <c r="C12" s="215">
        <v>2.5000000000000001E-2</v>
      </c>
      <c r="D12" s="236">
        <v>2.9700000000000001E-2</v>
      </c>
      <c r="E12" s="237">
        <v>5.0799999999999998E-2</v>
      </c>
      <c r="F12" s="238">
        <v>6.2700000000000006E-2</v>
      </c>
      <c r="G12" s="142"/>
      <c r="H12" s="142"/>
    </row>
    <row r="13" spans="1:8" ht="14.25" x14ac:dyDescent="0.2">
      <c r="A13" s="217" t="s">
        <v>75</v>
      </c>
      <c r="B13" s="218" t="s">
        <v>76</v>
      </c>
      <c r="C13" s="219">
        <v>0.01</v>
      </c>
      <c r="D13" s="236">
        <f>0.3%+0.56%</f>
        <v>8.6E-3</v>
      </c>
      <c r="E13" s="237">
        <f>0.48%+0.85%</f>
        <v>1.3299999999999999E-2</v>
      </c>
      <c r="F13" s="238">
        <f>0.82%+0.89%</f>
        <v>1.7099999999999997E-2</v>
      </c>
      <c r="G13" s="142"/>
      <c r="H13" s="142"/>
    </row>
    <row r="14" spans="1:8" ht="14.25" x14ac:dyDescent="0.2">
      <c r="A14" s="217" t="s">
        <v>77</v>
      </c>
      <c r="B14" s="218" t="s">
        <v>78</v>
      </c>
      <c r="C14" s="219">
        <v>0.1085</v>
      </c>
      <c r="D14" s="236">
        <v>7.7799999999999994E-2</v>
      </c>
      <c r="E14" s="237">
        <v>0.1085</v>
      </c>
      <c r="F14" s="238">
        <v>0.13550000000000001</v>
      </c>
      <c r="G14" s="142"/>
      <c r="H14" s="142"/>
    </row>
    <row r="15" spans="1:8" ht="14.25" x14ac:dyDescent="0.2">
      <c r="A15" s="217" t="s">
        <v>79</v>
      </c>
      <c r="B15" s="218" t="s">
        <v>80</v>
      </c>
      <c r="C15" s="220">
        <v>2.2800000000000001E-2</v>
      </c>
      <c r="D15" s="236">
        <v>0.15</v>
      </c>
      <c r="E15" s="221">
        <v>0.15</v>
      </c>
      <c r="F15" s="216">
        <v>0.15</v>
      </c>
      <c r="G15" s="142"/>
      <c r="H15" s="142"/>
    </row>
    <row r="16" spans="1:8" ht="14.25" x14ac:dyDescent="0.2">
      <c r="A16" s="217" t="s">
        <v>81</v>
      </c>
      <c r="B16" s="380" t="s">
        <v>82</v>
      </c>
      <c r="C16" s="219">
        <v>0.03</v>
      </c>
      <c r="D16" s="292" t="s">
        <v>193</v>
      </c>
      <c r="E16" s="222">
        <v>0</v>
      </c>
      <c r="F16" s="223"/>
      <c r="G16" s="142"/>
      <c r="H16" s="142"/>
    </row>
    <row r="17" spans="1:8" ht="15" thickBot="1" x14ac:dyDescent="0.25">
      <c r="A17" s="224" t="s">
        <v>83</v>
      </c>
      <c r="B17" s="381"/>
      <c r="C17" s="225">
        <v>3.6499999999999998E-2</v>
      </c>
      <c r="D17" s="199"/>
      <c r="E17" s="226"/>
      <c r="F17" s="223"/>
      <c r="G17" s="142"/>
      <c r="H17" s="142"/>
    </row>
    <row r="18" spans="1:8" ht="14.25" x14ac:dyDescent="0.2">
      <c r="A18" s="227" t="s">
        <v>84</v>
      </c>
      <c r="B18" s="228"/>
      <c r="C18" s="229"/>
      <c r="D18" s="199"/>
      <c r="E18" s="226"/>
      <c r="F18" s="223"/>
      <c r="G18" s="142"/>
      <c r="H18" s="142"/>
    </row>
    <row r="19" spans="1:8" ht="15" thickBot="1" x14ac:dyDescent="0.25">
      <c r="A19" s="230" t="s">
        <v>85</v>
      </c>
      <c r="B19" s="231"/>
      <c r="C19" s="232"/>
      <c r="D19" s="199"/>
      <c r="E19" s="226"/>
      <c r="F19" s="223"/>
      <c r="G19" s="142"/>
      <c r="H19" s="142"/>
    </row>
    <row r="20" spans="1:8" ht="15.75" thickBot="1" x14ac:dyDescent="0.25">
      <c r="A20" s="233" t="s">
        <v>86</v>
      </c>
      <c r="B20" s="234"/>
      <c r="C20" s="235">
        <f>ROUND((((1+C12+C13)*(1+C14)*(1+C15))/(1-(C16+C17))-1),4)</f>
        <v>0.25700000000000001</v>
      </c>
      <c r="D20" s="239">
        <v>0.21429999999999999</v>
      </c>
      <c r="E20" s="240">
        <v>0.2717</v>
      </c>
      <c r="F20" s="241">
        <v>0.3362</v>
      </c>
      <c r="G20" s="142"/>
      <c r="H20" s="142"/>
    </row>
    <row r="21" spans="1:8" ht="14.25" x14ac:dyDescent="0.2">
      <c r="A21" s="142"/>
      <c r="B21" s="142"/>
      <c r="C21" s="142"/>
      <c r="D21" s="142"/>
      <c r="E21" s="143"/>
      <c r="F21" s="142"/>
      <c r="G21" s="142"/>
      <c r="H21" s="142"/>
    </row>
    <row r="22" spans="1:8" ht="14.25" x14ac:dyDescent="0.2">
      <c r="A22" s="142"/>
      <c r="B22" s="142"/>
      <c r="C22" s="142"/>
      <c r="D22" s="142"/>
      <c r="E22" s="143"/>
      <c r="F22" s="142"/>
      <c r="G22" s="142"/>
      <c r="H22" s="142"/>
    </row>
    <row r="23" spans="1:8" ht="14.25" x14ac:dyDescent="0.2">
      <c r="A23" s="142"/>
      <c r="B23" s="142"/>
      <c r="C23" s="142"/>
      <c r="D23" s="142"/>
      <c r="E23" s="143"/>
      <c r="F23" s="142"/>
      <c r="G23" s="142"/>
      <c r="H23" s="142"/>
    </row>
    <row r="24" spans="1:8" ht="14.25" x14ac:dyDescent="0.2">
      <c r="A24" s="142"/>
      <c r="B24" s="142"/>
      <c r="C24" s="142"/>
      <c r="D24" s="142"/>
      <c r="E24" s="143"/>
      <c r="F24" s="142"/>
      <c r="G24" s="142"/>
      <c r="H24" s="142"/>
    </row>
    <row r="27" spans="1:8" x14ac:dyDescent="0.2">
      <c r="C27" s="349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2" sqref="B12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88" t="s">
        <v>228</v>
      </c>
      <c r="B1" s="389"/>
    </row>
    <row r="2" spans="1:2" s="103" customFormat="1" ht="19.5" customHeight="1" x14ac:dyDescent="0.2">
      <c r="A2" s="256" t="s">
        <v>205</v>
      </c>
      <c r="B2" s="257" t="s">
        <v>280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232</v>
      </c>
    </row>
    <row r="2" spans="1:1" x14ac:dyDescent="0.2">
      <c r="A2" s="242"/>
    </row>
    <row r="3" spans="1:1" x14ac:dyDescent="0.2">
      <c r="A3" s="242" t="s">
        <v>245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229</v>
      </c>
    </row>
    <row r="13" spans="1:1" ht="15" x14ac:dyDescent="0.2">
      <c r="A13" s="243" t="s">
        <v>108</v>
      </c>
    </row>
    <row r="14" spans="1:1" ht="15" x14ac:dyDescent="0.2">
      <c r="A14" s="243" t="s">
        <v>113</v>
      </c>
    </row>
    <row r="15" spans="1:1" ht="19.5" x14ac:dyDescent="0.35">
      <c r="A15" s="243" t="s">
        <v>230</v>
      </c>
    </row>
    <row r="16" spans="1:1" ht="19.5" x14ac:dyDescent="0.35">
      <c r="A16" s="243" t="s">
        <v>231</v>
      </c>
    </row>
    <row r="17" spans="1:1" ht="15.75" thickBot="1" x14ac:dyDescent="0.25">
      <c r="A17" s="244" t="s">
        <v>109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68" customWidth="1"/>
    <col min="2" max="2" width="11.140625" style="268" bestFit="1" customWidth="1"/>
    <col min="3" max="3" width="11.28515625" style="268" bestFit="1" customWidth="1"/>
    <col min="4" max="16384" width="9.140625" style="268"/>
  </cols>
  <sheetData>
    <row r="1" spans="1:7" x14ac:dyDescent="0.2">
      <c r="A1" s="11" t="s">
        <v>203</v>
      </c>
    </row>
    <row r="2" spans="1:7" x14ac:dyDescent="0.2">
      <c r="A2" s="273" t="s">
        <v>256</v>
      </c>
    </row>
    <row r="3" spans="1:7" x14ac:dyDescent="0.2">
      <c r="A3" s="273" t="s">
        <v>281</v>
      </c>
    </row>
    <row r="4" spans="1:7" x14ac:dyDescent="0.2">
      <c r="A4" s="7" t="s">
        <v>279</v>
      </c>
    </row>
    <row r="5" spans="1:7" x14ac:dyDescent="0.2">
      <c r="A5" s="7"/>
    </row>
    <row r="6" spans="1:7" s="4" customFormat="1" ht="15.6" customHeight="1" x14ac:dyDescent="0.2">
      <c r="A6" s="296" t="s">
        <v>285</v>
      </c>
      <c r="B6" s="134"/>
      <c r="C6" s="134"/>
      <c r="D6" s="134"/>
      <c r="E6" s="134"/>
      <c r="F6" s="134"/>
      <c r="G6" s="6"/>
    </row>
    <row r="7" spans="1:7" s="4" customFormat="1" ht="16.5" customHeight="1" x14ac:dyDescent="0.2">
      <c r="A7" s="296" t="s">
        <v>283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90" t="s">
        <v>276</v>
      </c>
      <c r="B9" s="391"/>
      <c r="C9" s="392"/>
    </row>
    <row r="10" spans="1:7" s="274" customFormat="1" ht="18" x14ac:dyDescent="0.25">
      <c r="A10" s="289"/>
      <c r="B10" s="288"/>
      <c r="C10" s="290"/>
    </row>
    <row r="11" spans="1:7" s="103" customFormat="1" ht="15" x14ac:dyDescent="0.25">
      <c r="A11" s="275" t="s">
        <v>277</v>
      </c>
      <c r="B11" s="276" t="s">
        <v>257</v>
      </c>
      <c r="C11" s="277" t="s">
        <v>143</v>
      </c>
    </row>
    <row r="12" spans="1:7" ht="14.25" x14ac:dyDescent="0.2">
      <c r="A12" s="278" t="s">
        <v>265</v>
      </c>
      <c r="B12" s="279" t="s">
        <v>258</v>
      </c>
      <c r="C12" s="200"/>
    </row>
    <row r="13" spans="1:7" ht="14.25" x14ac:dyDescent="0.2">
      <c r="A13" s="199" t="s">
        <v>266</v>
      </c>
      <c r="B13" s="280" t="s">
        <v>263</v>
      </c>
      <c r="C13" s="281">
        <f>0.0362741*C12^0.2336249</f>
        <v>0</v>
      </c>
    </row>
    <row r="14" spans="1:7" ht="14.25" x14ac:dyDescent="0.2">
      <c r="A14" s="199" t="s">
        <v>267</v>
      </c>
      <c r="B14" s="280" t="s">
        <v>264</v>
      </c>
      <c r="C14" s="282">
        <f>C12*C13/1000</f>
        <v>0</v>
      </c>
    </row>
    <row r="15" spans="1:7" ht="14.25" x14ac:dyDescent="0.2">
      <c r="A15" s="199" t="s">
        <v>273</v>
      </c>
      <c r="B15" s="280" t="s">
        <v>259</v>
      </c>
      <c r="C15" s="283">
        <f>(C14*30)</f>
        <v>0</v>
      </c>
    </row>
    <row r="16" spans="1:7" ht="14.25" x14ac:dyDescent="0.2">
      <c r="A16" s="199" t="s">
        <v>269</v>
      </c>
      <c r="B16" s="280" t="s">
        <v>91</v>
      </c>
      <c r="C16" s="286"/>
    </row>
    <row r="17" spans="1:3" ht="14.25" x14ac:dyDescent="0.2">
      <c r="A17" s="199" t="s">
        <v>268</v>
      </c>
      <c r="B17" s="280" t="s">
        <v>264</v>
      </c>
      <c r="C17" s="282">
        <f>IFERROR(C14*7/C16,0)</f>
        <v>0</v>
      </c>
    </row>
    <row r="18" spans="1:3" ht="14.25" x14ac:dyDescent="0.2">
      <c r="A18" s="278" t="s">
        <v>260</v>
      </c>
      <c r="B18" s="280" t="s">
        <v>261</v>
      </c>
      <c r="C18" s="223">
        <v>500</v>
      </c>
    </row>
    <row r="19" spans="1:3" ht="14.25" x14ac:dyDescent="0.2">
      <c r="A19" s="199" t="s">
        <v>274</v>
      </c>
      <c r="B19" s="280"/>
      <c r="C19" s="200"/>
    </row>
    <row r="20" spans="1:3" ht="14.25" x14ac:dyDescent="0.2">
      <c r="A20" s="278" t="s">
        <v>275</v>
      </c>
      <c r="B20" s="280" t="s">
        <v>262</v>
      </c>
      <c r="C20" s="200"/>
    </row>
    <row r="21" spans="1:3" ht="14.25" x14ac:dyDescent="0.2">
      <c r="A21" s="199" t="s">
        <v>270</v>
      </c>
      <c r="B21" s="280" t="s">
        <v>259</v>
      </c>
      <c r="C21" s="223">
        <f>IF(AND(C20&gt;=15,C19=1),5.8,C20/2)</f>
        <v>0</v>
      </c>
    </row>
    <row r="22" spans="1:3" ht="14.25" x14ac:dyDescent="0.2">
      <c r="A22" s="278" t="s">
        <v>271</v>
      </c>
      <c r="B22" s="280"/>
      <c r="C22" s="282">
        <f>IFERROR(C17/C21,0)</f>
        <v>0</v>
      </c>
    </row>
    <row r="23" spans="1:3" ht="14.25" x14ac:dyDescent="0.2">
      <c r="A23" s="278" t="s">
        <v>278</v>
      </c>
      <c r="B23" s="280"/>
      <c r="C23" s="291"/>
    </row>
    <row r="24" spans="1:3" ht="15" thickBot="1" x14ac:dyDescent="0.25">
      <c r="A24" s="284" t="s">
        <v>272</v>
      </c>
      <c r="B24" s="285"/>
      <c r="C24" s="287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Setor Compras</cp:lastModifiedBy>
  <cp:lastPrinted>2026-05-18T16:08:15Z</cp:lastPrinted>
  <dcterms:created xsi:type="dcterms:W3CDTF">2000-12-13T10:02:50Z</dcterms:created>
  <dcterms:modified xsi:type="dcterms:W3CDTF">2026-06-09T12:00:14Z</dcterms:modified>
</cp:coreProperties>
</file>