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-15" windowWidth="11910" windowHeight="9840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Domiciliar'!$A$1:$F$293</definedName>
    <definedName name="_xlnm.Print_Area" localSheetId="1">'2.Encargos Sociais'!$A$1:$C$39</definedName>
    <definedName name="_xlnm.Print_Titles" localSheetId="0">'1. Coleta Domiciliar'!$1:$3</definedName>
  </definedNames>
  <calcPr calcId="145621"/>
</workbook>
</file>

<file path=xl/calcChain.xml><?xml version="1.0" encoding="utf-8"?>
<calcChain xmlns="http://schemas.openxmlformats.org/spreadsheetml/2006/main">
  <c r="A43" i="2" l="1"/>
  <c r="C21" i="9" l="1"/>
  <c r="C23" i="5" l="1"/>
  <c r="C213" i="2" l="1"/>
  <c r="C212" i="2"/>
  <c r="C214" i="2"/>
  <c r="A30" i="2" l="1"/>
  <c r="A29" i="2"/>
  <c r="A28" i="2"/>
  <c r="A20" i="2"/>
  <c r="A19" i="2"/>
  <c r="A11" i="2"/>
  <c r="C13" i="9" l="1"/>
  <c r="C14" i="9" s="1"/>
  <c r="C15" i="9" l="1"/>
  <c r="C17" i="9"/>
  <c r="C22" i="9" s="1"/>
  <c r="C24" i="9" s="1"/>
  <c r="C183" i="2"/>
  <c r="C188" i="2"/>
  <c r="E39" i="2" l="1"/>
  <c r="E38" i="2"/>
  <c r="E37" i="2"/>
  <c r="E36" i="2"/>
  <c r="E43" i="2"/>
  <c r="C207" i="2" l="1"/>
  <c r="C202" i="2"/>
  <c r="D232" i="2"/>
  <c r="D230" i="2"/>
  <c r="D228" i="2"/>
  <c r="D226" i="2"/>
  <c r="D162" i="2" l="1"/>
  <c r="E162" i="2" s="1"/>
  <c r="E146" i="2"/>
  <c r="E147" i="2"/>
  <c r="E148" i="2"/>
  <c r="E149" i="2"/>
  <c r="E150" i="2"/>
  <c r="E151" i="2"/>
  <c r="E152" i="2"/>
  <c r="E153" i="2"/>
  <c r="E154" i="2"/>
  <c r="E145" i="2"/>
  <c r="D54" i="2" l="1"/>
  <c r="E54" i="2" s="1"/>
  <c r="D53" i="2"/>
  <c r="E53" i="2" s="1"/>
  <c r="D86" i="2"/>
  <c r="E86" i="2" s="1"/>
  <c r="C105" i="2"/>
  <c r="D55" i="2" l="1"/>
  <c r="E55" i="2" s="1"/>
  <c r="C108" i="2"/>
  <c r="D87" i="2"/>
  <c r="E87" i="2" s="1"/>
  <c r="D88" i="2" s="1"/>
  <c r="E88" i="2" s="1"/>
  <c r="C73" i="2"/>
  <c r="C70" i="2"/>
  <c r="C247" i="2" l="1"/>
  <c r="D100" i="2"/>
  <c r="A27" i="2"/>
  <c r="A26" i="2"/>
  <c r="A25" i="2"/>
  <c r="A24" i="2"/>
  <c r="A23" i="2"/>
  <c r="A22" i="2"/>
  <c r="A21" i="2"/>
  <c r="A18" i="2"/>
  <c r="A17" i="2"/>
  <c r="A16" i="2"/>
  <c r="A15" i="2"/>
  <c r="A14" i="2"/>
  <c r="A13" i="2"/>
  <c r="A12" i="2"/>
  <c r="C20" i="8"/>
  <c r="E271" i="2"/>
  <c r="E216" i="2"/>
  <c r="E208" i="2"/>
  <c r="E192" i="2"/>
  <c r="E170" i="2"/>
  <c r="E157" i="2"/>
  <c r="E136" i="2"/>
  <c r="E116" i="2"/>
  <c r="E95" i="2"/>
  <c r="E80" i="2"/>
  <c r="E61" i="2"/>
  <c r="D196" i="2"/>
  <c r="C15" i="4"/>
  <c r="C20" i="4" s="1"/>
  <c r="C280" i="2" s="1"/>
  <c r="F13" i="4"/>
  <c r="E13" i="4"/>
  <c r="D13" i="4"/>
  <c r="C17" i="8"/>
  <c r="C25" i="5"/>
  <c r="C111" i="2"/>
  <c r="C102" i="2"/>
  <c r="D99" i="2"/>
  <c r="D105" i="2" s="1"/>
  <c r="E105" i="2" s="1"/>
  <c r="E84" i="2"/>
  <c r="D123" i="2" s="1"/>
  <c r="C123" i="2"/>
  <c r="C245" i="2"/>
  <c r="E245" i="2" s="1"/>
  <c r="C224" i="2"/>
  <c r="C226" i="2" s="1"/>
  <c r="E226" i="2" s="1"/>
  <c r="D224" i="2"/>
  <c r="D233" i="2" s="1"/>
  <c r="E180" i="2"/>
  <c r="C189" i="2"/>
  <c r="C184" i="2"/>
  <c r="C67" i="2"/>
  <c r="D65" i="2"/>
  <c r="C267" i="2"/>
  <c r="C269" i="2" s="1"/>
  <c r="E269" i="2" s="1"/>
  <c r="D270" i="2" s="1"/>
  <c r="E270" i="2" s="1"/>
  <c r="C185" i="2"/>
  <c r="C201" i="2" s="1"/>
  <c r="C122" i="2"/>
  <c r="A36" i="2"/>
  <c r="A37" i="2"/>
  <c r="A38" i="2"/>
  <c r="A39" i="2"/>
  <c r="E52" i="2"/>
  <c r="D122" i="2" s="1"/>
  <c r="C75" i="2"/>
  <c r="A128" i="2"/>
  <c r="A134" i="2" s="1"/>
  <c r="A129" i="2"/>
  <c r="A135" i="2" s="1"/>
  <c r="E155" i="2"/>
  <c r="D163" i="2"/>
  <c r="E163" i="2" s="1"/>
  <c r="D164" i="2"/>
  <c r="E164" i="2" s="1"/>
  <c r="D165" i="2"/>
  <c r="E165" i="2" s="1"/>
  <c r="D166" i="2"/>
  <c r="E166" i="2" s="1"/>
  <c r="D167" i="2"/>
  <c r="E167" i="2" s="1"/>
  <c r="E168" i="2"/>
  <c r="E243" i="2"/>
  <c r="E214" i="2"/>
  <c r="E213" i="2"/>
  <c r="E256" i="2"/>
  <c r="E259" i="2"/>
  <c r="E257" i="2"/>
  <c r="E258" i="2"/>
  <c r="D90" i="2" l="1"/>
  <c r="E90" i="2" s="1"/>
  <c r="E91" i="2" s="1"/>
  <c r="C27" i="5"/>
  <c r="C28" i="5" s="1"/>
  <c r="C26" i="5"/>
  <c r="C31" i="8" s="1"/>
  <c r="D183" i="2"/>
  <c r="D212" i="2"/>
  <c r="D73" i="2"/>
  <c r="E73" i="2" s="1"/>
  <c r="D68" i="2"/>
  <c r="E68" i="2" s="1"/>
  <c r="E99" i="2"/>
  <c r="D103" i="2"/>
  <c r="E103" i="2" s="1"/>
  <c r="D106" i="2"/>
  <c r="E106" i="2" s="1"/>
  <c r="D108" i="2"/>
  <c r="E108" i="2" s="1"/>
  <c r="D102" i="2"/>
  <c r="E102" i="2" s="1"/>
  <c r="D71" i="2"/>
  <c r="E71" i="2" s="1"/>
  <c r="D70" i="2"/>
  <c r="E70" i="2" s="1"/>
  <c r="C230" i="2"/>
  <c r="E230" i="2" s="1"/>
  <c r="D67" i="2"/>
  <c r="E67" i="2" s="1"/>
  <c r="C232" i="2"/>
  <c r="E232" i="2" s="1"/>
  <c r="F260" i="2"/>
  <c r="F262" i="2" s="1"/>
  <c r="E28" i="2" s="1"/>
  <c r="C129" i="2"/>
  <c r="E129" i="2" s="1"/>
  <c r="E224" i="2"/>
  <c r="E65" i="2"/>
  <c r="E185" i="2"/>
  <c r="C203" i="2" s="1"/>
  <c r="D156" i="2"/>
  <c r="C128" i="2"/>
  <c r="E128" i="2" s="1"/>
  <c r="C156" i="2"/>
  <c r="E40" i="2"/>
  <c r="C134" i="2"/>
  <c r="E134" i="2" s="1"/>
  <c r="E122" i="2"/>
  <c r="E201" i="2"/>
  <c r="C135" i="2"/>
  <c r="E135" i="2" s="1"/>
  <c r="D56" i="2"/>
  <c r="E56" i="2" s="1"/>
  <c r="E57" i="2" s="1"/>
  <c r="D58" i="2" s="1"/>
  <c r="C169" i="2"/>
  <c r="C228" i="2"/>
  <c r="E228" i="2" s="1"/>
  <c r="C238" i="2"/>
  <c r="E238" i="2" s="1"/>
  <c r="F239" i="2" s="1"/>
  <c r="E26" i="2" s="1"/>
  <c r="E267" i="2"/>
  <c r="D268" i="2" s="1"/>
  <c r="E268" i="2" s="1"/>
  <c r="F271" i="2" s="1"/>
  <c r="F273" i="2" s="1"/>
  <c r="E29" i="2" s="1"/>
  <c r="E196" i="2"/>
  <c r="D246" i="2"/>
  <c r="E246" i="2" s="1"/>
  <c r="D247" i="2" s="1"/>
  <c r="E247" i="2" s="1"/>
  <c r="F248" i="2" s="1"/>
  <c r="E27" i="2" s="1"/>
  <c r="E123" i="2"/>
  <c r="E183" i="2"/>
  <c r="D169" i="2"/>
  <c r="C30" i="8" l="1"/>
  <c r="C33" i="5"/>
  <c r="C27" i="8" s="1"/>
  <c r="C35" i="8" s="1"/>
  <c r="D184" i="2"/>
  <c r="E184" i="2" s="1"/>
  <c r="E212" i="2"/>
  <c r="D215" i="2" s="1"/>
  <c r="E215" i="2" s="1"/>
  <c r="F216" i="2" s="1"/>
  <c r="E24" i="2" s="1"/>
  <c r="C198" i="2"/>
  <c r="C199" i="2" s="1"/>
  <c r="D200" i="2" s="1"/>
  <c r="E200" i="2" s="1"/>
  <c r="C28" i="8"/>
  <c r="C19" i="8"/>
  <c r="C25" i="8" s="1"/>
  <c r="C34" i="8" s="1"/>
  <c r="D74" i="2"/>
  <c r="E74" i="2" s="1"/>
  <c r="D75" i="2" s="1"/>
  <c r="E75" i="2" s="1"/>
  <c r="D109" i="2"/>
  <c r="E109" i="2" s="1"/>
  <c r="D111" i="2" s="1"/>
  <c r="E111" i="2" s="1"/>
  <c r="F130" i="2"/>
  <c r="E17" i="2" s="1"/>
  <c r="F136" i="2"/>
  <c r="E18" i="2" s="1"/>
  <c r="E169" i="2"/>
  <c r="F170" i="2" s="1"/>
  <c r="E156" i="2"/>
  <c r="F157" i="2" s="1"/>
  <c r="D188" i="2"/>
  <c r="E188" i="2" s="1"/>
  <c r="D189" i="2" s="1"/>
  <c r="E189" i="2" s="1"/>
  <c r="F124" i="2"/>
  <c r="E16" i="2" s="1"/>
  <c r="F234" i="2"/>
  <c r="E25" i="2" s="1"/>
  <c r="D92" i="2"/>
  <c r="C29" i="8" l="1"/>
  <c r="C32" i="8" s="1"/>
  <c r="C36" i="8"/>
  <c r="E190" i="2"/>
  <c r="D191" i="2" s="1"/>
  <c r="E191" i="2" s="1"/>
  <c r="F192" i="2" s="1"/>
  <c r="E22" i="2" s="1"/>
  <c r="C204" i="2"/>
  <c r="D205" i="2" s="1"/>
  <c r="E205" i="2" s="1"/>
  <c r="E206" i="2" s="1"/>
  <c r="D207" i="2" s="1"/>
  <c r="E207" i="2" s="1"/>
  <c r="F208" i="2" s="1"/>
  <c r="F172" i="2"/>
  <c r="E19" i="2" s="1"/>
  <c r="E112" i="2"/>
  <c r="D113" i="2" s="1"/>
  <c r="E76" i="2"/>
  <c r="C37" i="8" l="1"/>
  <c r="C92" i="2" s="1"/>
  <c r="E23" i="2"/>
  <c r="E21" i="2" s="1"/>
  <c r="F251" i="2"/>
  <c r="E20" i="2" s="1"/>
  <c r="D77" i="2"/>
  <c r="C77" i="2" l="1"/>
  <c r="E77" i="2" s="1"/>
  <c r="E78" i="2" s="1"/>
  <c r="D79" i="2" s="1"/>
  <c r="E79" i="2" s="1"/>
  <c r="F80" i="2" s="1"/>
  <c r="E13" i="2" s="1"/>
  <c r="C58" i="2"/>
  <c r="E58" i="2" s="1"/>
  <c r="E59" i="2" s="1"/>
  <c r="D60" i="2" s="1"/>
  <c r="E60" i="2" s="1"/>
  <c r="F61" i="2" s="1"/>
  <c r="E12" i="2" s="1"/>
  <c r="C113" i="2"/>
  <c r="E113" i="2" s="1"/>
  <c r="E114" i="2" s="1"/>
  <c r="D115" i="2" s="1"/>
  <c r="E115" i="2" s="1"/>
  <c r="F116" i="2" s="1"/>
  <c r="E15" i="2" s="1"/>
  <c r="E92" i="2"/>
  <c r="E93" i="2" s="1"/>
  <c r="D94" i="2" s="1"/>
  <c r="E94" i="2" s="1"/>
  <c r="F95" i="2" s="1"/>
  <c r="E14" i="2" s="1"/>
  <c r="F138" i="2" l="1"/>
  <c r="F275" i="2" s="1"/>
  <c r="E11" i="2" l="1"/>
  <c r="D280" i="2"/>
  <c r="E280" i="2" s="1"/>
  <c r="F281" i="2" s="1"/>
  <c r="F283" i="2" s="1"/>
  <c r="E30" i="2" s="1"/>
  <c r="E31" i="2" l="1"/>
  <c r="F11" i="2" s="1"/>
  <c r="F286" i="2"/>
  <c r="F29" i="2" l="1"/>
  <c r="F13" i="2"/>
  <c r="F19" i="2"/>
  <c r="F12" i="2"/>
  <c r="F18" i="2"/>
  <c r="F15" i="2"/>
  <c r="F20" i="2"/>
  <c r="F27" i="2"/>
  <c r="F26" i="2"/>
  <c r="F14" i="2"/>
  <c r="F21" i="2"/>
  <c r="F22" i="2"/>
  <c r="F23" i="2"/>
  <c r="F17" i="2"/>
  <c r="F24" i="2"/>
  <c r="F16" i="2"/>
  <c r="F28" i="2"/>
  <c r="F25" i="2"/>
  <c r="F30" i="2"/>
  <c r="F31" i="2" l="1"/>
</calcChain>
</file>

<file path=xl/comments1.xml><?xml version="1.0" encoding="utf-8"?>
<comments xmlns="http://schemas.openxmlformats.org/spreadsheetml/2006/main">
  <authors>
    <author>Clauber Bridi</author>
  </authors>
  <commentList>
    <comment ref="A9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2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3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4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55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8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0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66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68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69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1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2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74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7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79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84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85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86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87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88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9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0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2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94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1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03" author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04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06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07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09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0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13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15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0" author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1" author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2" author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23" author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28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29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4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35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C14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55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6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8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80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81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82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83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85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86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87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88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1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197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13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14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20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23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23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25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25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27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27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29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29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31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31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238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43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43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44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45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46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C256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56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57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57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58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58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59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59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64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67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D269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80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C19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<sst xmlns="http://schemas.openxmlformats.org/spreadsheetml/2006/main" count="581" uniqueCount="305">
  <si>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</si>
  <si>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</si>
  <si>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</si>
  <si>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</si>
  <si>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</si>
  <si>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</si>
  <si>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</si>
  <si>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</si>
  <si>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</si>
  <si>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</si>
  <si>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</si>
  <si>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</si>
  <si>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</si>
  <si>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</si>
  <si>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</si>
  <si>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</si>
  <si>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</si>
  <si>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</si>
  <si>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</si>
  <si>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</si>
  <si>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</si>
  <si>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</si>
  <si>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</si>
  <si>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</si>
  <si>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</si>
  <si>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</si>
  <si>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</si>
  <si>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Pá de Concha</t>
  </si>
  <si>
    <t>Vassoura</t>
  </si>
  <si>
    <t>Calça</t>
  </si>
  <si>
    <t>Camiseta</t>
  </si>
  <si>
    <t>Boné</t>
  </si>
  <si>
    <t>Luva de proteção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</si>
  <si>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</si>
  <si>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</si>
  <si>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</si>
  <si>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</si>
  <si>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</si>
  <si>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</si>
  <si>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</si>
  <si>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</si>
  <si>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</si>
  <si>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</si>
  <si>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</si>
  <si>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</si>
  <si>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</si>
  <si>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</si>
  <si>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</si>
  <si>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</si>
  <si>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</si>
  <si>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</si>
  <si>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</si>
  <si>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</si>
  <si>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</si>
  <si>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</si>
  <si>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</si>
  <si>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</si>
  <si>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</si>
  <si>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</si>
  <si>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</si>
  <si>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</si>
  <si>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</si>
  <si>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</si>
  <si>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</si>
  <si>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</si>
  <si>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</si>
  <si>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</si>
  <si>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</si>
  <si>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</si>
  <si>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</si>
  <si>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</si>
  <si>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</si>
  <si>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</si>
  <si>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</si>
  <si>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</si>
  <si>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</si>
  <si>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</si>
  <si>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</si>
  <si>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</si>
  <si>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</si>
  <si>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</si>
  <si>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</si>
  <si>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</si>
  <si>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</si>
  <si>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</si>
  <si>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</si>
  <si>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</si>
  <si>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</si>
  <si>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</si>
  <si>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</si>
  <si>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</si>
  <si>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</si>
  <si>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</si>
  <si>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</si>
  <si>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</si>
  <si>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</si>
  <si>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</si>
  <si>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</si>
  <si>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</si>
  <si>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</si>
  <si>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</si>
  <si>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</si>
  <si>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</si>
  <si>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</si>
  <si>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</si>
  <si>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</si>
  <si>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</si>
  <si>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Depreciação do compactador</t>
  </si>
  <si>
    <t>Depreciação do chassis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</si>
  <si>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</si>
  <si>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</si>
  <si>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</si>
  <si>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</si>
  <si>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</si>
  <si>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</si>
  <si>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</si>
  <si>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</si>
  <si>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</si>
  <si>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</si>
  <si>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</si>
  <si>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</si>
  <si>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</si>
  <si>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</si>
  <si>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</si>
  <si>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</si>
  <si>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</si>
  <si>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</si>
  <si>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</si>
  <si>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</si>
  <si>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</si>
  <si>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</si>
  <si>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</si>
  <si>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</si>
  <si>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</si>
  <si>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</si>
  <si>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</si>
  <si>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</si>
  <si>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</si>
  <si>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</si>
  <si>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</si>
  <si>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</si>
  <si>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</si>
  <si>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</si>
  <si>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</si>
  <si>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</si>
  <si>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</si>
  <si>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</si>
  <si>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</si>
  <si>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</si>
  <si>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</si>
  <si>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</si>
  <si>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</si>
  <si>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</si>
  <si>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</si>
  <si>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</si>
  <si>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</si>
  <si>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</si>
  <si>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</si>
  <si>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</si>
  <si>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</si>
  <si>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</si>
  <si>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</si>
  <si>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</si>
  <si>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</si>
  <si>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</si>
  <si>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</si>
  <si>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</si>
  <si>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</si>
  <si>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</si>
  <si>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</si>
  <si>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</si>
  <si>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</si>
  <si>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</si>
  <si>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</si>
  <si>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</si>
  <si>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</si>
  <si>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</si>
  <si>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</si>
  <si>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</si>
  <si>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</si>
  <si>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</si>
  <si>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</si>
  <si>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</si>
  <si>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</si>
  <si>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</si>
  <si>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</si>
  <si>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</si>
  <si>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</si>
  <si>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</si>
  <si>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</si>
  <si>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</si>
  <si>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</si>
  <si>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</si>
  <si>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</si>
  <si>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</si>
  <si>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</si>
  <si>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</si>
  <si>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</si>
  <si>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</si>
  <si>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</si>
  <si>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</si>
  <si>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</si>
  <si>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</si>
  <si>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</si>
  <si>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</si>
  <si>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</si>
  <si>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</si>
  <si>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Rio Grande do Sul  - Coleta de Resíduos Não-Perigosos - CNAE 38114</t>
  </si>
  <si>
    <t>Idade do veículo (ano)</t>
  </si>
  <si>
    <t>Idade do veículo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</si>
  <si>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</si>
  <si>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</si>
  <si>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</si>
  <si>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</si>
  <si>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</si>
  <si>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</si>
  <si>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</si>
  <si>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</si>
  <si>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</si>
  <si>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</si>
  <si>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</si>
  <si>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</si>
  <si>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</si>
  <si>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</si>
  <si>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</si>
  <si>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</si>
  <si>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</si>
  <si>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</si>
  <si>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</si>
  <si>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</si>
  <si>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</si>
  <si>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</si>
  <si>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</si>
  <si>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</si>
  <si>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</si>
  <si>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</si>
  <si>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</si>
  <si>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</si>
  <si>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</si>
  <si>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</si>
  <si>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</si>
  <si>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</si>
  <si>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</si>
  <si>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</si>
  <si>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</si>
  <si>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</si>
  <si>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</si>
  <si>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Rotatividade temporal (meses)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</si>
  <si>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</si>
  <si>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</si>
  <si>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</si>
  <si>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</si>
  <si>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</si>
  <si>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</si>
  <si>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</si>
  <si>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</si>
  <si>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</si>
  <si>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</si>
  <si>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</si>
  <si>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</si>
  <si>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</si>
  <si>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</si>
  <si>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</si>
  <si>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</si>
  <si>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</si>
  <si>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</si>
  <si>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</si>
  <si>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</si>
  <si>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</si>
  <si>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</si>
  <si>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</si>
  <si>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</si>
  <si>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</si>
  <si>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</si>
  <si>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</si>
  <si>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</si>
  <si>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</si>
  <si>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</si>
  <si>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</si>
  <si>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</si>
  <si>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</si>
  <si>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</si>
  <si>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3. Preencher somente células em amarelo</t>
  </si>
  <si>
    <t>Depreciação Média</t>
  </si>
  <si>
    <t>2. Dimensionar separadamente setores atendidos por veículos de capacidade de carga diferentes.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</si>
  <si>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</si>
  <si>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</si>
  <si>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</si>
  <si>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Salário mínimo nacional (1)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</si>
  <si>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</si>
  <si>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</si>
  <si>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</si>
  <si>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</si>
  <si>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</si>
  <si>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</si>
  <si>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</si>
  <si>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Tendo em vista que o CAGED foi descontinuado em janeiro de 2020, esta planilha foi atualizada até 31/12/2019.</t>
  </si>
  <si>
    <t>COLETA DOMICILIAR</t>
  </si>
  <si>
    <t>Custo de aquisição do compactador</t>
  </si>
  <si>
    <t>Vida útil do compactador</t>
  </si>
  <si>
    <t>Idade do compactador</t>
  </si>
  <si>
    <t>SELIC</t>
  </si>
  <si>
    <t>Custo do jogo de pneus 275/80 R22,5</t>
  </si>
  <si>
    <r>
      <t xml:space="preserve">Total </t>
    </r>
    <r>
      <rPr>
        <b/>
        <u/>
        <sz val="10"/>
        <rFont val="Arial"/>
        <family val="2"/>
      </rPr>
      <t>(R$)</t>
    </r>
  </si>
  <si>
    <t xml:space="preserve">3.1. Veículo Coletor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</si>
</sst>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-;\-* #,##0.00_-;_-* &quot;-&quot;??_-;_-@_-"/>
    <numFmt numFmtId="165" formatCode="&quot;R$ &quot;#,##0.00_);\(&quot;R$ &quot;#,##0.00\)"/>
    <numFmt numFmtId="166" formatCode="_(* #,##0.00_);_(* \(#,##0.00\);_(* &quot;-&quot;??_);_(@_)"/>
    <numFmt numFmtId="167" formatCode="_(* #,##0_);_(* \(#,##0\);_(* &quot;-&quot;??_);_(@_)"/>
    <numFmt numFmtId="168" formatCode="_(* #,##0.000_);_(* \(#,##0.000\);_(* &quot;-&quot;??_);_(@_)"/>
    <numFmt numFmtId="169" formatCode="&quot;R$ &quot;#,##0.00"/>
    <numFmt numFmtId="170" formatCode="0.0000"/>
    <numFmt numFmtId="171" formatCode="_-* #,##0.000_-;\-* #,##0.000_-;_-* &quot;-&quot;??_-;_-@_-"/>
    <numFmt numFmtId="172" formatCode="_-* #,##0.00_-;\-* #,##0.00_-;_-* &quot;-&quot;?_-;_-@_-"/>
    <numFmt numFmtId="173" formatCode="_-* #,##0_-;\-* #,##0_-;_-* &quot;-&quot;?_-;_-@_-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37">
    <xf numFmtId="0" fontId="0" fillId="0" borderId="0" xfId="0"/>
    <xf numFmtId="0" fontId="6" fillId="0" borderId="0" xfId="0" applyFont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6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6" fontId="3" fillId="2" borderId="4" xfId="3" applyFont="1" applyFill="1" applyBorder="1" applyAlignment="1">
      <alignment horizontal="center" vertical="center"/>
    </xf>
    <xf numFmtId="166" fontId="3" fillId="2" borderId="4" xfId="3" applyFont="1" applyFill="1" applyBorder="1" applyAlignment="1">
      <alignment vertical="center"/>
    </xf>
    <xf numFmtId="166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6" fontId="3" fillId="0" borderId="6" xfId="3" applyFont="1" applyBorder="1" applyAlignment="1">
      <alignment vertical="center"/>
    </xf>
    <xf numFmtId="166" fontId="3" fillId="0" borderId="7" xfId="3" applyFont="1" applyBorder="1" applyAlignment="1">
      <alignment vertical="center"/>
    </xf>
    <xf numFmtId="166" fontId="3" fillId="0" borderId="0" xfId="3" applyFont="1" applyBorder="1" applyAlignment="1">
      <alignment horizontal="center" vertical="center"/>
    </xf>
    <xf numFmtId="166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166" fontId="5" fillId="0" borderId="0" xfId="3" applyFont="1" applyAlignment="1">
      <alignment vertical="center"/>
    </xf>
    <xf numFmtId="166" fontId="6" fillId="0" borderId="0" xfId="3" applyFont="1"/>
    <xf numFmtId="166" fontId="3" fillId="0" borderId="10" xfId="3" applyFont="1" applyBorder="1" applyAlignment="1">
      <alignment horizontal="center" vertical="center"/>
    </xf>
    <xf numFmtId="166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6" fontId="3" fillId="0" borderId="0" xfId="3" applyFont="1" applyAlignment="1">
      <alignment vertical="center"/>
    </xf>
    <xf numFmtId="166" fontId="3" fillId="0" borderId="11" xfId="3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166" fontId="3" fillId="0" borderId="17" xfId="3" applyFont="1" applyBorder="1" applyAlignment="1">
      <alignment horizontal="center" vertical="center"/>
    </xf>
    <xf numFmtId="166" fontId="1" fillId="0" borderId="12" xfId="3" applyFont="1" applyBorder="1" applyAlignment="1">
      <alignment horizontal="left" vertical="center"/>
    </xf>
    <xf numFmtId="166" fontId="3" fillId="0" borderId="26" xfId="3" applyFont="1" applyBorder="1" applyAlignment="1">
      <alignment vertical="center"/>
    </xf>
    <xf numFmtId="4" fontId="3" fillId="0" borderId="27" xfId="0" applyNumberFormat="1" applyFont="1" applyBorder="1" applyAlignment="1">
      <alignment vertical="center"/>
    </xf>
    <xf numFmtId="1" fontId="3" fillId="0" borderId="29" xfId="3" applyNumberFormat="1" applyFont="1" applyBorder="1" applyAlignment="1">
      <alignment horizontal="center" vertical="center"/>
    </xf>
    <xf numFmtId="166" fontId="11" fillId="0" borderId="1" xfId="3" applyFont="1" applyBorder="1" applyAlignment="1">
      <alignment horizontal="center" vertical="center"/>
    </xf>
    <xf numFmtId="166" fontId="3" fillId="2" borderId="4" xfId="3" applyNumberFormat="1" applyFont="1" applyFill="1" applyBorder="1" applyAlignment="1">
      <alignment horizontal="center" vertical="center"/>
    </xf>
    <xf numFmtId="166" fontId="10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6" fontId="3" fillId="0" borderId="1" xfId="3" applyFont="1" applyBorder="1" applyAlignment="1">
      <alignment horizontal="center" vertical="center"/>
    </xf>
    <xf numFmtId="0" fontId="3" fillId="0" borderId="0" xfId="0" applyFont="1"/>
    <xf numFmtId="166" fontId="6" fillId="0" borderId="0" xfId="3" applyFont="1" applyFill="1" applyAlignment="1">
      <alignment vertical="center"/>
    </xf>
    <xf numFmtId="166" fontId="3" fillId="0" borderId="1" xfId="3" applyFont="1" applyFill="1" applyBorder="1" applyAlignment="1">
      <alignment horizontal="center" vertical="center"/>
    </xf>
    <xf numFmtId="165" fontId="3" fillId="0" borderId="32" xfId="0" applyNumberFormat="1" applyFont="1" applyBorder="1" applyAlignment="1">
      <alignment vertical="center"/>
    </xf>
    <xf numFmtId="166" fontId="3" fillId="0" borderId="33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3" applyFont="1" applyAlignment="1">
      <alignment horizontal="center" vertical="center"/>
    </xf>
    <xf numFmtId="166" fontId="3" fillId="0" borderId="3" xfId="3" applyFont="1" applyBorder="1" applyAlignment="1">
      <alignment horizontal="center" vertical="center"/>
    </xf>
    <xf numFmtId="0" fontId="0" fillId="0" borderId="0" xfId="0" applyAlignment="1">
      <alignment horizontal="center"/>
    </xf>
    <xf numFmtId="166" fontId="3" fillId="2" borderId="7" xfId="3" applyFont="1" applyFill="1" applyBorder="1" applyAlignment="1">
      <alignment horizontal="center" vertical="center"/>
    </xf>
    <xf numFmtId="166" fontId="3" fillId="0" borderId="12" xfId="3" applyFont="1" applyBorder="1" applyAlignment="1">
      <alignment vertical="center"/>
    </xf>
    <xf numFmtId="166" fontId="3" fillId="0" borderId="8" xfId="0" applyNumberFormat="1" applyFont="1" applyBorder="1" applyAlignment="1">
      <alignment vertical="center"/>
    </xf>
    <xf numFmtId="166" fontId="3" fillId="0" borderId="8" xfId="3" applyFont="1" applyBorder="1" applyAlignment="1">
      <alignment vertical="center"/>
    </xf>
    <xf numFmtId="10" fontId="3" fillId="0" borderId="13" xfId="2" applyNumberFormat="1" applyFont="1" applyBorder="1" applyAlignment="1">
      <alignment vertical="center"/>
    </xf>
    <xf numFmtId="166" fontId="3" fillId="0" borderId="36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4" fontId="3" fillId="0" borderId="8" xfId="0" applyNumberFormat="1" applyFont="1" applyBorder="1" applyAlignment="1">
      <alignment horizontal="centerContinuous"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9" fontId="3" fillId="0" borderId="16" xfId="2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4" fillId="0" borderId="0" xfId="0" applyFont="1" applyFill="1" applyAlignment="1">
      <alignment vertical="center"/>
    </xf>
    <xf numFmtId="167" fontId="3" fillId="0" borderId="0" xfId="3" applyNumberFormat="1" applyFont="1" applyBorder="1" applyAlignment="1">
      <alignment horizontal="center" vertical="center"/>
    </xf>
    <xf numFmtId="0" fontId="15" fillId="0" borderId="12" xfId="0" applyFont="1" applyBorder="1"/>
    <xf numFmtId="0" fontId="6" fillId="0" borderId="0" xfId="0" applyFont="1" applyBorder="1"/>
    <xf numFmtId="0" fontId="15" fillId="0" borderId="45" xfId="0" applyFont="1" applyBorder="1"/>
    <xf numFmtId="0" fontId="15" fillId="3" borderId="18" xfId="0" applyFont="1" applyFill="1" applyBorder="1"/>
    <xf numFmtId="0" fontId="15" fillId="0" borderId="21" xfId="0" applyFont="1" applyBorder="1"/>
    <xf numFmtId="0" fontId="15" fillId="0" borderId="46" xfId="0" applyFont="1" applyBorder="1"/>
    <xf numFmtId="0" fontId="15" fillId="0" borderId="18" xfId="0" applyFont="1" applyBorder="1"/>
    <xf numFmtId="0" fontId="15" fillId="0" borderId="26" xfId="0" applyFont="1" applyBorder="1"/>
    <xf numFmtId="2" fontId="16" fillId="7" borderId="1" xfId="0" applyNumberFormat="1" applyFont="1" applyFill="1" applyBorder="1" applyAlignment="1">
      <alignment horizontal="right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2" fontId="16" fillId="7" borderId="34" xfId="0" applyNumberFormat="1" applyFont="1" applyFill="1" applyBorder="1" applyAlignment="1">
      <alignment horizontal="right" vertical="center"/>
    </xf>
    <xf numFmtId="0" fontId="16" fillId="0" borderId="2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10" fontId="16" fillId="0" borderId="18" xfId="0" applyNumberFormat="1" applyFont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10" fontId="20" fillId="0" borderId="18" xfId="0" applyNumberFormat="1" applyFont="1" applyBorder="1" applyAlignment="1">
      <alignment horizontal="right" vertical="center"/>
    </xf>
    <xf numFmtId="0" fontId="16" fillId="5" borderId="21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/>
    </xf>
    <xf numFmtId="10" fontId="20" fillId="5" borderId="18" xfId="0" applyNumberFormat="1" applyFont="1" applyFill="1" applyBorder="1" applyAlignment="1">
      <alignment horizontal="right" vertical="center"/>
    </xf>
    <xf numFmtId="0" fontId="21" fillId="0" borderId="1" xfId="0" applyFont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6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6" fillId="0" borderId="1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/>
    </xf>
    <xf numFmtId="0" fontId="16" fillId="9" borderId="22" xfId="0" applyFont="1" applyFill="1" applyBorder="1" applyAlignment="1">
      <alignment horizontal="left" vertical="center"/>
    </xf>
    <xf numFmtId="0" fontId="20" fillId="9" borderId="34" xfId="0" applyFont="1" applyFill="1" applyBorder="1" applyAlignment="1">
      <alignment horizontal="left" vertical="center"/>
    </xf>
    <xf numFmtId="10" fontId="20" fillId="9" borderId="35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/>
    </xf>
    <xf numFmtId="10" fontId="20" fillId="0" borderId="0" xfId="0" applyNumberFormat="1" applyFont="1" applyFill="1" applyBorder="1" applyAlignment="1">
      <alignment horizontal="right" vertical="center"/>
    </xf>
    <xf numFmtId="0" fontId="22" fillId="4" borderId="0" xfId="0" applyFont="1" applyFill="1" applyBorder="1" applyAlignment="1">
      <alignment horizontal="left" vertical="center"/>
    </xf>
    <xf numFmtId="10" fontId="16" fillId="0" borderId="0" xfId="0" applyNumberFormat="1" applyFont="1" applyFill="1" applyBorder="1" applyAlignment="1">
      <alignment horizontal="right" vertical="center"/>
    </xf>
    <xf numFmtId="0" fontId="16" fillId="4" borderId="0" xfId="0" applyFont="1" applyFill="1" applyBorder="1" applyAlignment="1">
      <alignment horizontal="left" vertical="center"/>
    </xf>
    <xf numFmtId="10" fontId="16" fillId="0" borderId="0" xfId="0" applyNumberFormat="1" applyFont="1" applyBorder="1" applyAlignment="1">
      <alignment horizontal="right" vertical="center"/>
    </xf>
    <xf numFmtId="0" fontId="20" fillId="0" borderId="0" xfId="0" applyFont="1" applyBorder="1" applyAlignment="1">
      <alignment horizontal="left" vertical="center"/>
    </xf>
    <xf numFmtId="10" fontId="20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4" fillId="0" borderId="0" xfId="0" applyFont="1" applyBorder="1"/>
    <xf numFmtId="0" fontId="16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3" xfId="0" applyFont="1" applyBorder="1"/>
    <xf numFmtId="0" fontId="5" fillId="0" borderId="21" xfId="0" applyFont="1" applyBorder="1"/>
    <xf numFmtId="0" fontId="5" fillId="3" borderId="18" xfId="0" applyFont="1" applyFill="1" applyBorder="1"/>
    <xf numFmtId="0" fontId="5" fillId="0" borderId="45" xfId="0" applyFont="1" applyBorder="1"/>
    <xf numFmtId="0" fontId="5" fillId="3" borderId="46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36" xfId="0" applyFont="1" applyBorder="1"/>
    <xf numFmtId="0" fontId="5" fillId="0" borderId="37" xfId="0" applyFont="1" applyBorder="1"/>
    <xf numFmtId="0" fontId="7" fillId="0" borderId="46" xfId="0" applyFont="1" applyBorder="1"/>
    <xf numFmtId="0" fontId="7" fillId="0" borderId="36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1" xfId="2" applyFont="1" applyBorder="1"/>
    <xf numFmtId="9" fontId="5" fillId="0" borderId="1" xfId="2" applyFont="1" applyBorder="1" applyAlignment="1">
      <alignment horizontal="center"/>
    </xf>
    <xf numFmtId="9" fontId="5" fillId="0" borderId="18" xfId="2" applyFont="1" applyBorder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10" fontId="5" fillId="3" borderId="10" xfId="0" applyNumberFormat="1" applyFont="1" applyFill="1" applyBorder="1" applyAlignment="1">
      <alignment horizontal="center" vertical="center"/>
    </xf>
    <xf numFmtId="10" fontId="5" fillId="0" borderId="18" xfId="2" applyNumberFormat="1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18" xfId="0" applyNumberFormat="1" applyFont="1" applyFill="1" applyBorder="1" applyAlignment="1">
      <alignment horizontal="center" vertical="center"/>
    </xf>
    <xf numFmtId="10" fontId="5" fillId="0" borderId="18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8" xfId="0" applyFont="1" applyBorder="1"/>
    <xf numFmtId="0" fontId="5" fillId="0" borderId="22" xfId="0" applyFont="1" applyFill="1" applyBorder="1" applyAlignment="1">
      <alignment horizontal="left" vertical="center"/>
    </xf>
    <xf numFmtId="10" fontId="5" fillId="3" borderId="3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10" fontId="5" fillId="0" borderId="25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1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18" xfId="2" applyNumberFormat="1" applyFont="1" applyBorder="1" applyAlignment="1">
      <alignment horizontal="right"/>
    </xf>
    <xf numFmtId="10" fontId="5" fillId="0" borderId="22" xfId="2" applyNumberFormat="1" applyFont="1" applyBorder="1" applyAlignment="1">
      <alignment horizontal="right"/>
    </xf>
    <xf numFmtId="10" fontId="5" fillId="0" borderId="34" xfId="2" applyNumberFormat="1" applyFont="1" applyBorder="1" applyAlignment="1">
      <alignment horizontal="right"/>
    </xf>
    <xf numFmtId="10" fontId="5" fillId="0" borderId="35" xfId="2" applyNumberFormat="1" applyFont="1" applyBorder="1" applyAlignment="1">
      <alignment horizontal="right"/>
    </xf>
    <xf numFmtId="0" fontId="6" fillId="0" borderId="50" xfId="0" applyFont="1" applyBorder="1"/>
    <xf numFmtId="0" fontId="17" fillId="0" borderId="50" xfId="0" applyFont="1" applyBorder="1" applyAlignment="1">
      <alignment horizontal="justify"/>
    </xf>
    <xf numFmtId="0" fontId="17" fillId="0" borderId="51" xfId="0" applyFont="1" applyBorder="1" applyAlignment="1">
      <alignment horizontal="justify"/>
    </xf>
    <xf numFmtId="0" fontId="14" fillId="10" borderId="49" xfId="0" applyFont="1" applyFill="1" applyBorder="1" applyAlignment="1">
      <alignment horizontal="center"/>
    </xf>
    <xf numFmtId="169" fontId="3" fillId="0" borderId="1" xfId="0" applyNumberFormat="1" applyFont="1" applyBorder="1" applyAlignment="1">
      <alignment vertical="center"/>
    </xf>
    <xf numFmtId="169" fontId="3" fillId="0" borderId="34" xfId="0" applyNumberFormat="1" applyFont="1" applyBorder="1" applyAlignment="1">
      <alignment vertical="center"/>
    </xf>
    <xf numFmtId="166" fontId="3" fillId="0" borderId="9" xfId="3" applyFont="1" applyBorder="1" applyAlignment="1">
      <alignment vertical="center"/>
    </xf>
    <xf numFmtId="166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8" xfId="3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8" fontId="3" fillId="0" borderId="1" xfId="3" applyNumberFormat="1" applyFont="1" applyBorder="1" applyAlignment="1">
      <alignment horizontal="center" vertical="center"/>
    </xf>
    <xf numFmtId="0" fontId="1" fillId="0" borderId="0" xfId="0" applyFont="1"/>
    <xf numFmtId="0" fontId="3" fillId="0" borderId="52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166" fontId="3" fillId="0" borderId="52" xfId="3" applyFont="1" applyBorder="1" applyAlignment="1">
      <alignment horizontal="center" vertical="center"/>
    </xf>
    <xf numFmtId="166" fontId="3" fillId="0" borderId="52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1" xfId="0" applyFont="1" applyBorder="1"/>
    <xf numFmtId="0" fontId="7" fillId="0" borderId="1" xfId="0" applyFont="1" applyBorder="1"/>
    <xf numFmtId="0" fontId="7" fillId="0" borderId="18" xfId="0" applyFont="1" applyBorder="1"/>
    <xf numFmtId="0" fontId="5" fillId="0" borderId="2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1" fontId="21" fillId="0" borderId="18" xfId="3" applyNumberFormat="1" applyFont="1" applyBorder="1" applyAlignment="1">
      <alignment horizontal="center" vertical="center" wrapText="1"/>
    </xf>
    <xf numFmtId="172" fontId="5" fillId="0" borderId="18" xfId="0" applyNumberFormat="1" applyFont="1" applyBorder="1"/>
    <xf numFmtId="2" fontId="5" fillId="0" borderId="18" xfId="0" applyNumberFormat="1" applyFont="1" applyBorder="1"/>
    <xf numFmtId="0" fontId="5" fillId="0" borderId="22" xfId="0" applyFont="1" applyFill="1" applyBorder="1"/>
    <xf numFmtId="0" fontId="5" fillId="0" borderId="34" xfId="0" applyFont="1" applyBorder="1"/>
    <xf numFmtId="172" fontId="5" fillId="3" borderId="18" xfId="0" applyNumberFormat="1" applyFont="1" applyFill="1" applyBorder="1"/>
    <xf numFmtId="172" fontId="5" fillId="0" borderId="35" xfId="0" applyNumberFormat="1" applyFont="1" applyBorder="1"/>
    <xf numFmtId="0" fontId="14" fillId="0" borderId="1" xfId="0" applyFont="1" applyFill="1" applyBorder="1" applyAlignment="1">
      <alignment horizontal="center"/>
    </xf>
    <xf numFmtId="0" fontId="14" fillId="0" borderId="21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173" fontId="5" fillId="3" borderId="18" xfId="0" applyNumberFormat="1" applyFont="1" applyFill="1" applyBorder="1"/>
    <xf numFmtId="0" fontId="5" fillId="0" borderId="21" xfId="0" applyFont="1" applyBorder="1" applyAlignment="1">
      <alignment horizontal="right"/>
    </xf>
    <xf numFmtId="4" fontId="29" fillId="0" borderId="0" xfId="0" applyNumberFormat="1" applyFont="1" applyBorder="1" applyAlignment="1">
      <alignment vertical="center"/>
    </xf>
    <xf numFmtId="0" fontId="5" fillId="0" borderId="18" xfId="0" applyFont="1" applyFill="1" applyBorder="1"/>
    <xf numFmtId="0" fontId="28" fillId="0" borderId="0" xfId="0" applyFont="1"/>
    <xf numFmtId="0" fontId="1" fillId="0" borderId="2" xfId="0" applyFont="1" applyBorder="1" applyAlignment="1">
      <alignment vertical="center"/>
    </xf>
    <xf numFmtId="170" fontId="7" fillId="0" borderId="18" xfId="0" applyNumberFormat="1" applyFont="1" applyBorder="1"/>
    <xf numFmtId="9" fontId="15" fillId="0" borderId="18" xfId="2" applyFont="1" applyBorder="1"/>
    <xf numFmtId="10" fontId="15" fillId="0" borderId="18" xfId="2" applyNumberFormat="1" applyFont="1" applyBorder="1"/>
    <xf numFmtId="9" fontId="7" fillId="0" borderId="29" xfId="2" applyFont="1" applyBorder="1"/>
    <xf numFmtId="0" fontId="5" fillId="0" borderId="53" xfId="0" applyFont="1" applyBorder="1"/>
    <xf numFmtId="0" fontId="1" fillId="0" borderId="1" xfId="0" applyFont="1" applyBorder="1" applyAlignment="1">
      <alignment vertical="center"/>
    </xf>
    <xf numFmtId="166" fontId="3" fillId="0" borderId="12" xfId="3" applyFont="1" applyBorder="1" applyAlignment="1">
      <alignment horizontal="left" vertical="center"/>
    </xf>
    <xf numFmtId="166" fontId="1" fillId="0" borderId="0" xfId="3" applyFont="1" applyAlignment="1">
      <alignment vertical="center"/>
    </xf>
    <xf numFmtId="4" fontId="28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36" xfId="0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166" fontId="1" fillId="0" borderId="0" xfId="3" applyFont="1" applyFill="1" applyBorder="1" applyAlignment="1">
      <alignment vertical="center"/>
    </xf>
    <xf numFmtId="166" fontId="1" fillId="0" borderId="37" xfId="3" applyFont="1" applyFill="1" applyBorder="1" applyAlignment="1">
      <alignment vertical="center"/>
    </xf>
    <xf numFmtId="166" fontId="1" fillId="0" borderId="9" xfId="3" applyFont="1" applyBorder="1" applyAlignment="1">
      <alignment vertical="center"/>
    </xf>
    <xf numFmtId="166" fontId="1" fillId="0" borderId="12" xfId="3" applyFont="1" applyBorder="1" applyAlignment="1">
      <alignment vertical="center"/>
    </xf>
    <xf numFmtId="166" fontId="1" fillId="0" borderId="8" xfId="0" applyNumberFormat="1" applyFont="1" applyBorder="1" applyAlignment="1">
      <alignment vertical="center"/>
    </xf>
    <xf numFmtId="166" fontId="1" fillId="0" borderId="8" xfId="3" applyFont="1" applyBorder="1" applyAlignment="1">
      <alignment vertical="center"/>
    </xf>
    <xf numFmtId="169" fontId="1" fillId="0" borderId="1" xfId="0" applyNumberFormat="1" applyFont="1" applyBorder="1" applyAlignment="1">
      <alignment vertical="center"/>
    </xf>
    <xf numFmtId="10" fontId="1" fillId="0" borderId="13" xfId="2" applyNumberFormat="1" applyFont="1" applyBorder="1" applyAlignment="1">
      <alignment vertical="center"/>
    </xf>
    <xf numFmtId="4" fontId="1" fillId="0" borderId="8" xfId="0" applyNumberFormat="1" applyFont="1" applyBorder="1" applyAlignment="1">
      <alignment horizontal="centerContinuous" vertical="center"/>
    </xf>
    <xf numFmtId="166" fontId="1" fillId="0" borderId="17" xfId="3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" fontId="1" fillId="0" borderId="10" xfId="3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" fontId="1" fillId="0" borderId="18" xfId="3" applyNumberFormat="1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166" fontId="1" fillId="0" borderId="0" xfId="3" applyFont="1" applyBorder="1" applyAlignment="1">
      <alignment vertical="center"/>
    </xf>
    <xf numFmtId="166" fontId="1" fillId="0" borderId="37" xfId="3" applyFont="1" applyBorder="1" applyAlignment="1">
      <alignment vertical="center"/>
    </xf>
    <xf numFmtId="166" fontId="1" fillId="0" borderId="38" xfId="3" applyFont="1" applyBorder="1" applyAlignment="1">
      <alignment vertical="center"/>
    </xf>
    <xf numFmtId="166" fontId="1" fillId="0" borderId="39" xfId="3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1" fontId="1" fillId="0" borderId="35" xfId="3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" fontId="1" fillId="0" borderId="0" xfId="3" applyNumberFormat="1" applyFont="1" applyBorder="1" applyAlignment="1">
      <alignment horizontal="center" vertical="center"/>
    </xf>
    <xf numFmtId="167" fontId="1" fillId="0" borderId="0" xfId="3" applyNumberFormat="1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166" fontId="3" fillId="2" borderId="15" xfId="3" applyFont="1" applyFill="1" applyBorder="1" applyAlignment="1">
      <alignment horizontal="center" vertical="center"/>
    </xf>
    <xf numFmtId="166" fontId="3" fillId="2" borderId="16" xfId="3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6" fontId="1" fillId="3" borderId="2" xfId="3" applyFont="1" applyFill="1" applyBorder="1" applyAlignment="1">
      <alignment horizontal="center" vertical="center"/>
    </xf>
    <xf numFmtId="166" fontId="1" fillId="0" borderId="2" xfId="3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166" fontId="1" fillId="0" borderId="1" xfId="3" applyFont="1" applyBorder="1" applyAlignment="1">
      <alignment horizontal="center" vertical="center"/>
    </xf>
    <xf numFmtId="166" fontId="1" fillId="0" borderId="1" xfId="3" applyFont="1" applyFill="1" applyBorder="1" applyAlignment="1">
      <alignment horizontal="center" vertical="center"/>
    </xf>
    <xf numFmtId="166" fontId="1" fillId="6" borderId="1" xfId="3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6" fontId="1" fillId="0" borderId="0" xfId="3" applyFont="1" applyAlignment="1">
      <alignment horizontal="right" vertical="center"/>
    </xf>
    <xf numFmtId="166" fontId="1" fillId="0" borderId="1" xfId="3" applyFont="1" applyBorder="1" applyAlignment="1">
      <alignment vertical="center"/>
    </xf>
    <xf numFmtId="2" fontId="1" fillId="0" borderId="1" xfId="3" applyNumberFormat="1" applyFont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67" fontId="1" fillId="0" borderId="1" xfId="3" applyNumberFormat="1" applyFont="1" applyBorder="1" applyAlignment="1">
      <alignment horizontal="center" vertical="center"/>
    </xf>
    <xf numFmtId="166" fontId="1" fillId="3" borderId="0" xfId="3" applyFont="1" applyFill="1" applyAlignment="1">
      <alignment vertical="center"/>
    </xf>
    <xf numFmtId="0" fontId="1" fillId="3" borderId="0" xfId="0" applyFont="1" applyFill="1" applyAlignment="1">
      <alignment vertical="center"/>
    </xf>
    <xf numFmtId="167" fontId="1" fillId="0" borderId="1" xfId="3" applyNumberFormat="1" applyFont="1" applyBorder="1" applyAlignment="1">
      <alignment vertical="center"/>
    </xf>
    <xf numFmtId="167" fontId="1" fillId="0" borderId="1" xfId="3" applyNumberFormat="1" applyFont="1" applyFill="1" applyBorder="1" applyAlignment="1">
      <alignment vertical="center"/>
    </xf>
    <xf numFmtId="166" fontId="1" fillId="3" borderId="1" xfId="3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13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6" fontId="1" fillId="0" borderId="0" xfId="3" applyFont="1"/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166" fontId="1" fillId="0" borderId="6" xfId="3" applyFont="1" applyBorder="1" applyAlignment="1">
      <alignment vertical="center"/>
    </xf>
    <xf numFmtId="166" fontId="1" fillId="0" borderId="7" xfId="3" applyFont="1" applyBorder="1" applyAlignment="1">
      <alignment vertical="center"/>
    </xf>
    <xf numFmtId="0" fontId="8" fillId="0" borderId="0" xfId="1" applyFont="1" applyAlignment="1" applyProtection="1">
      <alignment vertical="center"/>
    </xf>
    <xf numFmtId="0" fontId="1" fillId="0" borderId="2" xfId="0" applyFont="1" applyFill="1" applyBorder="1" applyAlignment="1">
      <alignment horizontal="center" vertical="center"/>
    </xf>
    <xf numFmtId="166" fontId="1" fillId="0" borderId="0" xfId="3" applyFont="1" applyAlignment="1">
      <alignment horizontal="center" vertical="center"/>
    </xf>
    <xf numFmtId="166" fontId="1" fillId="6" borderId="1" xfId="3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166" fontId="3" fillId="2" borderId="31" xfId="3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6" fontId="1" fillId="3" borderId="1" xfId="3" applyFont="1" applyFill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1" fillId="3" borderId="1" xfId="0" applyNumberFormat="1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horizontal="center" vertical="center"/>
    </xf>
    <xf numFmtId="168" fontId="1" fillId="3" borderId="2" xfId="3" applyNumberFormat="1" applyFont="1" applyFill="1" applyBorder="1" applyAlignment="1">
      <alignment horizontal="center" vertical="center"/>
    </xf>
    <xf numFmtId="168" fontId="1" fillId="0" borderId="2" xfId="3" applyNumberFormat="1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168" fontId="1" fillId="0" borderId="1" xfId="3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6" fontId="1" fillId="0" borderId="2" xfId="3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166" fontId="1" fillId="0" borderId="0" xfId="3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166" fontId="3" fillId="0" borderId="8" xfId="3" applyFont="1" applyBorder="1" applyAlignment="1">
      <alignment horizontal="left" vertical="center"/>
    </xf>
    <xf numFmtId="0" fontId="3" fillId="8" borderId="23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8" borderId="25" xfId="0" applyFont="1" applyFill="1" applyBorder="1" applyAlignment="1">
      <alignment horizontal="center" vertical="center"/>
    </xf>
    <xf numFmtId="0" fontId="3" fillId="8" borderId="42" xfId="0" applyFont="1" applyFill="1" applyBorder="1" applyAlignment="1">
      <alignment horizontal="center" vertical="center"/>
    </xf>
    <xf numFmtId="0" fontId="3" fillId="8" borderId="40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/>
    </xf>
    <xf numFmtId="166" fontId="3" fillId="0" borderId="5" xfId="3" applyFont="1" applyBorder="1" applyAlignment="1">
      <alignment horizontal="center" vertical="center"/>
    </xf>
    <xf numFmtId="166" fontId="3" fillId="0" borderId="6" xfId="3" applyFont="1" applyBorder="1" applyAlignment="1">
      <alignment horizontal="center" vertical="center"/>
    </xf>
    <xf numFmtId="166" fontId="3" fillId="0" borderId="41" xfId="3" applyFont="1" applyBorder="1" applyAlignment="1">
      <alignment horizontal="center" vertical="center"/>
    </xf>
    <xf numFmtId="166" fontId="3" fillId="8" borderId="5" xfId="3" applyFont="1" applyFill="1" applyBorder="1" applyAlignment="1">
      <alignment horizontal="center" vertical="center"/>
    </xf>
    <xf numFmtId="166" fontId="3" fillId="8" borderId="6" xfId="3" applyFont="1" applyFill="1" applyBorder="1" applyAlignment="1">
      <alignment horizontal="center" vertical="center"/>
    </xf>
    <xf numFmtId="166" fontId="3" fillId="8" borderId="7" xfId="3" applyFont="1" applyFill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center" vertical="center"/>
    </xf>
    <xf numFmtId="0" fontId="14" fillId="10" borderId="17" xfId="0" applyFont="1" applyFill="1" applyBorder="1" applyAlignment="1">
      <alignment horizontal="center"/>
    </xf>
    <xf numFmtId="0" fontId="14" fillId="10" borderId="44" xfId="0" applyFont="1" applyFill="1" applyBorder="1" applyAlignment="1">
      <alignment horizontal="center"/>
    </xf>
    <xf numFmtId="0" fontId="28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9" fontId="7" fillId="0" borderId="19" xfId="2" applyFont="1" applyBorder="1" applyAlignment="1">
      <alignment horizontal="center"/>
    </xf>
    <xf numFmtId="9" fontId="7" fillId="0" borderId="20" xfId="2" applyFont="1" applyBorder="1" applyAlignment="1">
      <alignment horizontal="center"/>
    </xf>
    <xf numFmtId="9" fontId="7" fillId="0" borderId="10" xfId="2" applyFont="1" applyBorder="1" applyAlignment="1">
      <alignment horizontal="center"/>
    </xf>
    <xf numFmtId="0" fontId="4" fillId="10" borderId="2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/>
    </xf>
    <xf numFmtId="0" fontId="14" fillId="10" borderId="20" xfId="0" applyFont="1" applyFill="1" applyBorder="1" applyAlignment="1">
      <alignment horizontal="center"/>
    </xf>
    <xf numFmtId="0" fontId="14" fillId="10" borderId="10" xfId="0" applyFont="1" applyFill="1" applyBorder="1" applyAlignment="1">
      <alignment horizont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23"/>
  <sheetViews>
    <sheetView tabSelected="1" view="pageBreakPreview" zoomScaleNormal="100" zoomScaleSheetLayoutView="100" workbookViewId="0">
      <selection activeCell="D4" sqref="D4"/>
    </sheetView>
  </sheetViews>
  <sheetFormatPr defaultRowHeight="12.75" x14ac:dyDescent="0.2"/>
  <cols>
    <col min="1" max="1" width="44.5703125" style="5" customWidth="1"/>
    <col min="2" max="2" width="16" style="5" bestFit="1" customWidth="1"/>
    <col min="3" max="3" width="11.85546875" style="5" customWidth="1"/>
    <col min="4" max="4" width="14.7109375" style="214" customWidth="1"/>
    <col min="5" max="5" width="15.42578125" style="214" customWidth="1"/>
    <col min="6" max="6" width="13.28515625" style="214" customWidth="1"/>
    <col min="7" max="7" width="28.140625" style="8" customWidth="1"/>
    <col min="8" max="8" width="9.140625" style="7"/>
    <col min="9" max="9" width="14.5703125" style="7" customWidth="1"/>
    <col min="10" max="10" width="13.42578125" style="7" customWidth="1"/>
    <col min="11" max="16384" width="9.140625" style="7"/>
  </cols>
  <sheetData>
    <row r="1" spans="1:7" s="2" customFormat="1" ht="15.6" customHeight="1" x14ac:dyDescent="0.2">
      <c r="A1" s="183"/>
      <c r="B1" s="183"/>
      <c r="C1" s="183"/>
      <c r="D1" s="183"/>
      <c r="E1" s="183"/>
      <c r="F1" s="183"/>
      <c r="G1" s="4"/>
    </row>
    <row r="2" spans="1:7" s="2" customFormat="1" x14ac:dyDescent="0.2">
      <c r="A2" s="301" t="s">
        <v>297</v>
      </c>
      <c r="B2" s="301"/>
      <c r="C2" s="301"/>
      <c r="D2" s="301"/>
      <c r="E2" s="301"/>
      <c r="F2" s="301"/>
      <c r="G2" s="4"/>
    </row>
    <row r="3" spans="1:7" s="2" customFormat="1" ht="3" customHeight="1" x14ac:dyDescent="0.2">
      <c r="A3" s="301"/>
      <c r="B3" s="301"/>
      <c r="C3" s="301"/>
      <c r="D3" s="301"/>
      <c r="E3" s="301"/>
      <c r="F3" s="301"/>
      <c r="G3" s="4"/>
    </row>
    <row r="4" spans="1:7" s="2" customFormat="1" ht="15.6" customHeight="1" x14ac:dyDescent="0.2">
      <c r="A4" s="215"/>
      <c r="B4" s="183"/>
      <c r="C4" s="183"/>
      <c r="D4" s="183"/>
      <c r="E4" s="183"/>
      <c r="F4" s="183"/>
      <c r="G4" s="4"/>
    </row>
    <row r="5" spans="1:7" s="2" customFormat="1" ht="16.5" customHeight="1" thickBot="1" x14ac:dyDescent="0.25">
      <c r="A5" s="5"/>
      <c r="B5" s="216"/>
      <c r="C5" s="216"/>
      <c r="D5" s="214"/>
      <c r="E5" s="214"/>
      <c r="F5" s="214"/>
      <c r="G5" s="4"/>
    </row>
    <row r="6" spans="1:7" s="6" customFormat="1" ht="14.25" x14ac:dyDescent="0.2">
      <c r="A6" s="306" t="s">
        <v>220</v>
      </c>
      <c r="B6" s="307"/>
      <c r="C6" s="307"/>
      <c r="D6" s="307"/>
      <c r="E6" s="307"/>
      <c r="F6" s="308"/>
      <c r="G6" s="22"/>
    </row>
    <row r="7" spans="1:7" s="6" customFormat="1" ht="14.25" x14ac:dyDescent="0.2">
      <c r="A7" s="309" t="s">
        <v>43</v>
      </c>
      <c r="B7" s="310"/>
      <c r="C7" s="310"/>
      <c r="D7" s="310"/>
      <c r="E7" s="310"/>
      <c r="F7" s="311"/>
      <c r="G7" s="22"/>
    </row>
    <row r="8" spans="1:7" s="2" customFormat="1" ht="10.9" customHeight="1" thickBot="1" x14ac:dyDescent="0.25">
      <c r="A8" s="217"/>
      <c r="B8" s="218"/>
      <c r="C8" s="218"/>
      <c r="D8" s="219"/>
      <c r="E8" s="219"/>
      <c r="F8" s="220"/>
      <c r="G8" s="4"/>
    </row>
    <row r="9" spans="1:7" s="2" customFormat="1" ht="15.75" customHeight="1" thickBot="1" x14ac:dyDescent="0.25">
      <c r="A9" s="315" t="s">
        <v>205</v>
      </c>
      <c r="B9" s="316"/>
      <c r="C9" s="316"/>
      <c r="D9" s="316"/>
      <c r="E9" s="316"/>
      <c r="F9" s="317"/>
      <c r="G9" s="4"/>
    </row>
    <row r="10" spans="1:7" s="2" customFormat="1" ht="15.75" customHeight="1" x14ac:dyDescent="0.2">
      <c r="A10" s="31" t="s">
        <v>204</v>
      </c>
      <c r="B10" s="221"/>
      <c r="C10" s="221"/>
      <c r="D10" s="166"/>
      <c r="E10" s="47" t="s">
        <v>38</v>
      </c>
      <c r="F10" s="24" t="s">
        <v>2</v>
      </c>
      <c r="G10" s="4"/>
    </row>
    <row r="11" spans="1:7" s="9" customFormat="1" ht="15.75" customHeight="1" x14ac:dyDescent="0.2">
      <c r="A11" s="54" t="str">
        <f>A48</f>
        <v>1. Mão-de-obra</v>
      </c>
      <c r="B11" s="55"/>
      <c r="C11" s="56"/>
      <c r="D11" s="56"/>
      <c r="E11" s="164">
        <f>+F138</f>
        <v>18248.662690869663</v>
      </c>
      <c r="F11" s="57">
        <f>IFERROR(E11/$E$31,0)</f>
        <v>0.47858113162323412</v>
      </c>
      <c r="G11" s="27"/>
    </row>
    <row r="12" spans="1:7" s="2" customFormat="1" ht="15.75" customHeight="1" x14ac:dyDescent="0.2">
      <c r="A12" s="222" t="str">
        <f>A50</f>
        <v>1.1. Coletor Turno Dia</v>
      </c>
      <c r="B12" s="223"/>
      <c r="C12" s="224"/>
      <c r="D12" s="224"/>
      <c r="E12" s="225">
        <f>F61</f>
        <v>11349.309101309518</v>
      </c>
      <c r="F12" s="226">
        <f>IFERROR(E12/$E$31,0)</f>
        <v>0.29764182092993313</v>
      </c>
      <c r="G12" s="4"/>
    </row>
    <row r="13" spans="1:7" s="2" customFormat="1" ht="15.75" customHeight="1" x14ac:dyDescent="0.2">
      <c r="A13" s="222" t="str">
        <f>A63</f>
        <v>1.2. Coletor Turno Noite</v>
      </c>
      <c r="B13" s="223"/>
      <c r="C13" s="224"/>
      <c r="D13" s="224"/>
      <c r="E13" s="225">
        <f>F80</f>
        <v>0</v>
      </c>
      <c r="F13" s="226">
        <f t="shared" ref="F13:F30" si="0">IFERROR(E13/$E$31,0)</f>
        <v>0</v>
      </c>
      <c r="G13" s="4"/>
    </row>
    <row r="14" spans="1:7" s="2" customFormat="1" ht="15.75" customHeight="1" x14ac:dyDescent="0.2">
      <c r="A14" s="222" t="str">
        <f>A82</f>
        <v>1.3. Motorista Turno do Dia</v>
      </c>
      <c r="B14" s="223"/>
      <c r="C14" s="224"/>
      <c r="D14" s="224"/>
      <c r="E14" s="225">
        <f>F95</f>
        <v>6130.3899587909127</v>
      </c>
      <c r="F14" s="226">
        <f t="shared" si="0"/>
        <v>0.16077282009479943</v>
      </c>
      <c r="G14" s="4"/>
    </row>
    <row r="15" spans="1:7" s="2" customFormat="1" ht="15.75" customHeight="1" x14ac:dyDescent="0.2">
      <c r="A15" s="222" t="str">
        <f>A97</f>
        <v>1.4. Motorista Turno Noite</v>
      </c>
      <c r="B15" s="223"/>
      <c r="C15" s="224"/>
      <c r="D15" s="224"/>
      <c r="E15" s="225">
        <f>F116</f>
        <v>0</v>
      </c>
      <c r="F15" s="226">
        <f t="shared" si="0"/>
        <v>0</v>
      </c>
      <c r="G15" s="4"/>
    </row>
    <row r="16" spans="1:7" s="2" customFormat="1" ht="15.75" customHeight="1" x14ac:dyDescent="0.2">
      <c r="A16" s="222" t="str">
        <f>A118</f>
        <v>1.5. Vale Transporte</v>
      </c>
      <c r="B16" s="223"/>
      <c r="C16" s="224"/>
      <c r="D16" s="224"/>
      <c r="E16" s="225">
        <f>F124</f>
        <v>-185.58636923076921</v>
      </c>
      <c r="F16" s="226">
        <f t="shared" si="0"/>
        <v>-4.8671037491830665E-3</v>
      </c>
      <c r="G16" s="4"/>
    </row>
    <row r="17" spans="1:7" s="2" customFormat="1" ht="15.75" customHeight="1" x14ac:dyDescent="0.2">
      <c r="A17" s="222" t="str">
        <f>A126</f>
        <v>1.6. Vale-refeição (diário)</v>
      </c>
      <c r="B17" s="223"/>
      <c r="C17" s="224"/>
      <c r="D17" s="224"/>
      <c r="E17" s="225">
        <f>F130</f>
        <v>865.8</v>
      </c>
      <c r="F17" s="226">
        <f t="shared" si="0"/>
        <v>2.270607719472563E-2</v>
      </c>
      <c r="G17" s="4"/>
    </row>
    <row r="18" spans="1:7" s="2" customFormat="1" ht="15.75" customHeight="1" x14ac:dyDescent="0.2">
      <c r="A18" s="222" t="str">
        <f>A132</f>
        <v>1.7. Auxílio Alimentação (mensal)</v>
      </c>
      <c r="B18" s="223"/>
      <c r="C18" s="224"/>
      <c r="D18" s="224"/>
      <c r="E18" s="225">
        <f>F136</f>
        <v>88.75</v>
      </c>
      <c r="F18" s="226">
        <f t="shared" si="0"/>
        <v>2.3275171529589973E-3</v>
      </c>
      <c r="G18" s="4"/>
    </row>
    <row r="19" spans="1:7" s="9" customFormat="1" ht="15.75" customHeight="1" x14ac:dyDescent="0.2">
      <c r="A19" s="304" t="str">
        <f>A140</f>
        <v>2. Uniformes e Equipamentos de Proteção Individual</v>
      </c>
      <c r="B19" s="305"/>
      <c r="C19" s="305"/>
      <c r="D19" s="56"/>
      <c r="E19" s="164">
        <f>+F172</f>
        <v>824.16666666666674</v>
      </c>
      <c r="F19" s="57">
        <f t="shared" si="0"/>
        <v>2.1614220321844586E-2</v>
      </c>
      <c r="G19" s="27"/>
    </row>
    <row r="20" spans="1:7" s="9" customFormat="1" ht="15.75" customHeight="1" x14ac:dyDescent="0.2">
      <c r="A20" s="213" t="str">
        <f>A174</f>
        <v>3. Veículos e Equipamentos</v>
      </c>
      <c r="B20" s="60"/>
      <c r="C20" s="56"/>
      <c r="D20" s="56"/>
      <c r="E20" s="164">
        <f>+F251</f>
        <v>10616.152777777779</v>
      </c>
      <c r="F20" s="57">
        <f t="shared" si="0"/>
        <v>0.27841439649251926</v>
      </c>
      <c r="G20" s="27"/>
    </row>
    <row r="21" spans="1:7" s="2" customFormat="1" ht="15.75" customHeight="1" x14ac:dyDescent="0.2">
      <c r="A21" s="32" t="str">
        <f>A176</f>
        <v xml:space="preserve">3.1. Veículo Coletor  </v>
      </c>
      <c r="B21" s="227"/>
      <c r="C21" s="224"/>
      <c r="D21" s="224"/>
      <c r="E21" s="225">
        <f>SUM(E22:E27)</f>
        <v>10616.152777777779</v>
      </c>
      <c r="F21" s="226">
        <f t="shared" si="0"/>
        <v>0.27841439649251926</v>
      </c>
      <c r="G21" s="4"/>
    </row>
    <row r="22" spans="1:7" s="2" customFormat="1" ht="15.75" customHeight="1" x14ac:dyDescent="0.2">
      <c r="A22" s="32" t="str">
        <f>A178</f>
        <v>3.1.1. Depreciação</v>
      </c>
      <c r="B22" s="227"/>
      <c r="C22" s="224"/>
      <c r="D22" s="224"/>
      <c r="E22" s="225">
        <f>F192</f>
        <v>2415.3888888888891</v>
      </c>
      <c r="F22" s="226">
        <f t="shared" si="0"/>
        <v>6.3344890929075637E-2</v>
      </c>
      <c r="G22" s="4"/>
    </row>
    <row r="23" spans="1:7" s="2" customFormat="1" ht="15.75" customHeight="1" x14ac:dyDescent="0.2">
      <c r="A23" s="32" t="str">
        <f>A194</f>
        <v>3.1.2. Remuneração do Capital</v>
      </c>
      <c r="B23" s="227"/>
      <c r="C23" s="224"/>
      <c r="D23" s="224"/>
      <c r="E23" s="225">
        <f>F208</f>
        <v>576.6538888888889</v>
      </c>
      <c r="F23" s="226">
        <f t="shared" si="0"/>
        <v>1.5123062734753809E-2</v>
      </c>
      <c r="G23" s="4"/>
    </row>
    <row r="24" spans="1:7" s="2" customFormat="1" ht="15.75" customHeight="1" x14ac:dyDescent="0.2">
      <c r="A24" s="32" t="str">
        <f>A210</f>
        <v>3.1.3. Impostos e Seguros</v>
      </c>
      <c r="B24" s="227"/>
      <c r="C24" s="224"/>
      <c r="D24" s="224"/>
      <c r="E24" s="225">
        <f>F216</f>
        <v>510</v>
      </c>
      <c r="F24" s="226">
        <f t="shared" si="0"/>
        <v>1.3375028146581279E-2</v>
      </c>
      <c r="G24" s="4"/>
    </row>
    <row r="25" spans="1:7" s="2" customFormat="1" ht="15.75" customHeight="1" x14ac:dyDescent="0.2">
      <c r="A25" s="32" t="str">
        <f>A218</f>
        <v>3.1.4. Consumos</v>
      </c>
      <c r="B25" s="227"/>
      <c r="C25" s="224"/>
      <c r="D25" s="224"/>
      <c r="E25" s="225">
        <f>F234</f>
        <v>4904.8500000000004</v>
      </c>
      <c r="F25" s="226">
        <f t="shared" si="0"/>
        <v>0.12863236628384156</v>
      </c>
      <c r="G25" s="4"/>
    </row>
    <row r="26" spans="1:7" s="2" customFormat="1" ht="15.75" customHeight="1" x14ac:dyDescent="0.2">
      <c r="A26" s="32" t="str">
        <f>A236</f>
        <v>3.1.5. Manutenção</v>
      </c>
      <c r="B26" s="227"/>
      <c r="C26" s="224"/>
      <c r="D26" s="224"/>
      <c r="E26" s="225">
        <f>F239</f>
        <v>1694.9999999999998</v>
      </c>
      <c r="F26" s="226">
        <f t="shared" si="0"/>
        <v>4.445229942834366E-2</v>
      </c>
      <c r="G26" s="4"/>
    </row>
    <row r="27" spans="1:7" s="2" customFormat="1" ht="15.75" customHeight="1" x14ac:dyDescent="0.2">
      <c r="A27" s="32" t="str">
        <f>A241</f>
        <v>3.1.6. Pneus</v>
      </c>
      <c r="B27" s="227"/>
      <c r="C27" s="224"/>
      <c r="D27" s="224"/>
      <c r="E27" s="225">
        <f>F248</f>
        <v>514.26</v>
      </c>
      <c r="F27" s="226">
        <f t="shared" si="0"/>
        <v>1.3486748969923312E-2</v>
      </c>
      <c r="G27" s="4"/>
    </row>
    <row r="28" spans="1:7" s="9" customFormat="1" ht="15.75" customHeight="1" x14ac:dyDescent="0.2">
      <c r="A28" s="213" t="str">
        <f>A253</f>
        <v>4. Ferramentas e Materiais de Consumo</v>
      </c>
      <c r="B28" s="60"/>
      <c r="C28" s="56"/>
      <c r="D28" s="56"/>
      <c r="E28" s="164">
        <f>+F262</f>
        <v>50.658333333333331</v>
      </c>
      <c r="F28" s="57">
        <f t="shared" si="0"/>
        <v>1.3285424199847647E-3</v>
      </c>
      <c r="G28" s="27"/>
    </row>
    <row r="29" spans="1:7" s="9" customFormat="1" ht="15.75" customHeight="1" x14ac:dyDescent="0.2">
      <c r="A29" s="213" t="str">
        <f>A264</f>
        <v>5. Monitoramento da Frota</v>
      </c>
      <c r="B29" s="60"/>
      <c r="C29" s="56"/>
      <c r="D29" s="56"/>
      <c r="E29" s="164">
        <f>+F273</f>
        <v>120</v>
      </c>
      <c r="F29" s="57">
        <f t="shared" si="0"/>
        <v>3.1470654462544185E-3</v>
      </c>
      <c r="G29" s="27"/>
    </row>
    <row r="30" spans="1:7" s="9" customFormat="1" ht="15.75" customHeight="1" thickBot="1" x14ac:dyDescent="0.25">
      <c r="A30" s="213" t="str">
        <f>A277</f>
        <v>6. Benefícios e Despesas Indiretas - BDI</v>
      </c>
      <c r="B30" s="60"/>
      <c r="C30" s="56"/>
      <c r="D30" s="56"/>
      <c r="E30" s="165">
        <f>+F283</f>
        <v>8271.1204098153412</v>
      </c>
      <c r="F30" s="57">
        <f t="shared" si="0"/>
        <v>0.2169146436961629</v>
      </c>
      <c r="G30" s="27"/>
    </row>
    <row r="31" spans="1:7" s="2" customFormat="1" ht="15.75" customHeight="1" thickBot="1" x14ac:dyDescent="0.25">
      <c r="A31" s="25" t="s">
        <v>240</v>
      </c>
      <c r="B31" s="26"/>
      <c r="C31" s="16"/>
      <c r="D31" s="16"/>
      <c r="E31" s="46">
        <f>E11+E19+E20+E28+E29+E30</f>
        <v>38130.760878462781</v>
      </c>
      <c r="F31" s="63">
        <f>F11+F19+F20+F28+F29+F30</f>
        <v>1.0000000000000002</v>
      </c>
      <c r="G31" s="4"/>
    </row>
    <row r="33" spans="1:7" ht="13.5" thickBot="1" x14ac:dyDescent="0.25"/>
    <row r="34" spans="1:7" s="2" customFormat="1" ht="15" customHeight="1" thickBot="1" x14ac:dyDescent="0.25">
      <c r="A34" s="315" t="s">
        <v>97</v>
      </c>
      <c r="B34" s="316"/>
      <c r="C34" s="316"/>
      <c r="D34" s="316"/>
      <c r="E34" s="317"/>
      <c r="F34" s="214"/>
      <c r="G34" s="4"/>
    </row>
    <row r="35" spans="1:7" s="2" customFormat="1" ht="15" customHeight="1" thickBot="1" x14ac:dyDescent="0.25">
      <c r="A35" s="312" t="s">
        <v>39</v>
      </c>
      <c r="B35" s="313"/>
      <c r="C35" s="313"/>
      <c r="D35" s="314"/>
      <c r="E35" s="28" t="s">
        <v>40</v>
      </c>
      <c r="F35" s="214"/>
      <c r="G35" s="4"/>
    </row>
    <row r="36" spans="1:7" s="2" customFormat="1" ht="15" customHeight="1" x14ac:dyDescent="0.2">
      <c r="A36" s="228" t="str">
        <f>+A50</f>
        <v>1.1. Coletor Turno Dia</v>
      </c>
      <c r="B36" s="221"/>
      <c r="C36" s="221"/>
      <c r="D36" s="229"/>
      <c r="E36" s="230">
        <f>C60</f>
        <v>2</v>
      </c>
      <c r="F36" s="214"/>
      <c r="G36" s="4"/>
    </row>
    <row r="37" spans="1:7" s="2" customFormat="1" ht="15" customHeight="1" x14ac:dyDescent="0.2">
      <c r="A37" s="222" t="str">
        <f>+A63</f>
        <v>1.2. Coletor Turno Noite</v>
      </c>
      <c r="B37" s="224"/>
      <c r="C37" s="224"/>
      <c r="D37" s="231"/>
      <c r="E37" s="232">
        <f>C79</f>
        <v>0</v>
      </c>
      <c r="F37" s="214"/>
      <c r="G37" s="4"/>
    </row>
    <row r="38" spans="1:7" s="2" customFormat="1" ht="15" customHeight="1" x14ac:dyDescent="0.2">
      <c r="A38" s="222" t="str">
        <f>+A82</f>
        <v>1.3. Motorista Turno do Dia</v>
      </c>
      <c r="B38" s="224"/>
      <c r="C38" s="224"/>
      <c r="D38" s="231"/>
      <c r="E38" s="232">
        <f>C94</f>
        <v>1</v>
      </c>
      <c r="F38" s="214"/>
      <c r="G38" s="4"/>
    </row>
    <row r="39" spans="1:7" s="2" customFormat="1" ht="15" customHeight="1" x14ac:dyDescent="0.2">
      <c r="A39" s="222" t="str">
        <f>+A97</f>
        <v>1.4. Motorista Turno Noite</v>
      </c>
      <c r="B39" s="224"/>
      <c r="C39" s="224"/>
      <c r="D39" s="231"/>
      <c r="E39" s="232">
        <f>C115</f>
        <v>0</v>
      </c>
      <c r="F39" s="214"/>
      <c r="G39" s="4"/>
    </row>
    <row r="40" spans="1:7" s="2" customFormat="1" ht="15" customHeight="1" thickBot="1" x14ac:dyDescent="0.25">
      <c r="A40" s="33" t="s">
        <v>58</v>
      </c>
      <c r="B40" s="34"/>
      <c r="C40" s="34"/>
      <c r="D40" s="233"/>
      <c r="E40" s="35">
        <f>SUM(E36:E39)</f>
        <v>3</v>
      </c>
      <c r="F40" s="214"/>
      <c r="G40" s="4"/>
    </row>
    <row r="41" spans="1:7" s="2" customFormat="1" ht="15" customHeight="1" thickBot="1" x14ac:dyDescent="0.25">
      <c r="A41" s="58"/>
      <c r="B41" s="59"/>
      <c r="C41" s="234"/>
      <c r="D41" s="234"/>
      <c r="E41" s="235"/>
      <c r="F41" s="214"/>
      <c r="G41" s="4"/>
    </row>
    <row r="42" spans="1:7" s="2" customFormat="1" ht="15" customHeight="1" x14ac:dyDescent="0.2">
      <c r="A42" s="302" t="s">
        <v>56</v>
      </c>
      <c r="B42" s="303"/>
      <c r="C42" s="303"/>
      <c r="D42" s="303"/>
      <c r="E42" s="28" t="s">
        <v>40</v>
      </c>
      <c r="F42" s="5"/>
      <c r="G42" s="4"/>
    </row>
    <row r="43" spans="1:7" s="2" customFormat="1" ht="13.5" thickBot="1" x14ac:dyDescent="0.25">
      <c r="A43" s="236" t="str">
        <f>+A176</f>
        <v xml:space="preserve">3.1. Veículo Coletor  </v>
      </c>
      <c r="B43" s="237"/>
      <c r="C43" s="237"/>
      <c r="D43" s="238"/>
      <c r="E43" s="239">
        <f>C191</f>
        <v>1</v>
      </c>
      <c r="F43" s="5"/>
      <c r="G43" s="4"/>
    </row>
    <row r="44" spans="1:7" s="2" customFormat="1" ht="15" customHeight="1" x14ac:dyDescent="0.2">
      <c r="A44" s="234"/>
      <c r="B44" s="234"/>
      <c r="C44" s="234"/>
      <c r="D44" s="240"/>
      <c r="E44" s="241"/>
      <c r="F44" s="5"/>
      <c r="G44" s="4"/>
    </row>
    <row r="45" spans="1:7" s="2" customFormat="1" ht="13.5" thickBot="1" x14ac:dyDescent="0.25">
      <c r="A45" s="234"/>
      <c r="B45" s="234"/>
      <c r="C45" s="234"/>
      <c r="D45" s="240"/>
      <c r="E45" s="242"/>
      <c r="F45" s="5"/>
      <c r="G45" s="4"/>
    </row>
    <row r="46" spans="1:7" s="9" customFormat="1" ht="13.5" thickBot="1" x14ac:dyDescent="0.25">
      <c r="A46" s="167" t="s">
        <v>199</v>
      </c>
      <c r="B46" s="168">
        <v>1</v>
      </c>
      <c r="C46" s="21"/>
      <c r="D46" s="20"/>
      <c r="E46" s="69"/>
      <c r="G46" s="27"/>
    </row>
    <row r="47" spans="1:7" s="2" customFormat="1" ht="15.75" customHeight="1" x14ac:dyDescent="0.2">
      <c r="A47" s="234"/>
      <c r="B47" s="234"/>
      <c r="C47" s="234"/>
      <c r="D47" s="240"/>
      <c r="E47" s="242"/>
      <c r="F47" s="5"/>
      <c r="G47" s="4"/>
    </row>
    <row r="48" spans="1:7" ht="13.15" customHeight="1" x14ac:dyDescent="0.2">
      <c r="A48" s="9" t="s">
        <v>47</v>
      </c>
    </row>
    <row r="49" spans="1:7" ht="11.25" customHeight="1" x14ac:dyDescent="0.2"/>
    <row r="50" spans="1:7" ht="13.9" customHeight="1" thickBot="1" x14ac:dyDescent="0.25">
      <c r="A50" s="5" t="s">
        <v>100</v>
      </c>
    </row>
    <row r="51" spans="1:7" ht="13.9" customHeight="1" thickBot="1" x14ac:dyDescent="0.25">
      <c r="A51" s="243" t="s">
        <v>63</v>
      </c>
      <c r="B51" s="244" t="s">
        <v>64</v>
      </c>
      <c r="C51" s="244" t="s">
        <v>40</v>
      </c>
      <c r="D51" s="245" t="s">
        <v>236</v>
      </c>
      <c r="E51" s="245" t="s">
        <v>65</v>
      </c>
      <c r="F51" s="246" t="s">
        <v>303</v>
      </c>
    </row>
    <row r="52" spans="1:7" ht="13.15" customHeight="1" x14ac:dyDescent="0.2">
      <c r="A52" s="206" t="s">
        <v>213</v>
      </c>
      <c r="B52" s="247" t="s">
        <v>8</v>
      </c>
      <c r="C52" s="247">
        <v>1</v>
      </c>
      <c r="D52" s="248">
        <v>1397.27</v>
      </c>
      <c r="E52" s="249">
        <f>C52*D52</f>
        <v>1397.27</v>
      </c>
    </row>
    <row r="53" spans="1:7" x14ac:dyDescent="0.2">
      <c r="A53" s="212" t="s">
        <v>34</v>
      </c>
      <c r="B53" s="250" t="s">
        <v>0</v>
      </c>
      <c r="C53" s="251">
        <v>30</v>
      </c>
      <c r="D53" s="252">
        <f>D52/220*2</f>
        <v>12.702454545454545</v>
      </c>
      <c r="E53" s="252">
        <f>C53*D53</f>
        <v>381.07363636363635</v>
      </c>
      <c r="G53" s="8" t="s">
        <v>249</v>
      </c>
    </row>
    <row r="54" spans="1:7" ht="13.15" customHeight="1" x14ac:dyDescent="0.2">
      <c r="A54" s="212" t="s">
        <v>35</v>
      </c>
      <c r="B54" s="250" t="s">
        <v>0</v>
      </c>
      <c r="C54" s="251">
        <v>45</v>
      </c>
      <c r="D54" s="252">
        <f>D52/220*1.5</f>
        <v>9.5268409090909092</v>
      </c>
      <c r="E54" s="252">
        <f>C54*D54</f>
        <v>428.70784090909092</v>
      </c>
      <c r="G54" s="8" t="s">
        <v>251</v>
      </c>
    </row>
    <row r="55" spans="1:7" ht="13.15" customHeight="1" x14ac:dyDescent="0.2">
      <c r="A55" s="212" t="s">
        <v>217</v>
      </c>
      <c r="B55" s="250" t="s">
        <v>33</v>
      </c>
      <c r="D55" s="252">
        <f>63/302*(SUM(E53:E54))</f>
        <v>168.92792406682722</v>
      </c>
      <c r="E55" s="252">
        <f>D55</f>
        <v>168.92792406682722</v>
      </c>
      <c r="G55" s="8" t="s">
        <v>216</v>
      </c>
    </row>
    <row r="56" spans="1:7" x14ac:dyDescent="0.2">
      <c r="A56" s="212" t="s">
        <v>1</v>
      </c>
      <c r="B56" s="250" t="s">
        <v>2</v>
      </c>
      <c r="C56" s="250">
        <v>40</v>
      </c>
      <c r="D56" s="253">
        <f>SUM(E52:E55)</f>
        <v>2375.9794013395544</v>
      </c>
      <c r="E56" s="252">
        <f>C56*D56/100</f>
        <v>950.39176053582185</v>
      </c>
    </row>
    <row r="57" spans="1:7" x14ac:dyDescent="0.2">
      <c r="A57" s="48" t="s">
        <v>3</v>
      </c>
      <c r="B57" s="49"/>
      <c r="C57" s="49"/>
      <c r="D57" s="50"/>
      <c r="E57" s="51">
        <f>SUM(E52:E56)</f>
        <v>3326.3711618753764</v>
      </c>
    </row>
    <row r="58" spans="1:7" x14ac:dyDescent="0.2">
      <c r="A58" s="212" t="s">
        <v>4</v>
      </c>
      <c r="B58" s="250" t="s">
        <v>2</v>
      </c>
      <c r="C58" s="254">
        <f>'2.Encargos Sociais'!$C$37*100</f>
        <v>70.595951999999997</v>
      </c>
      <c r="D58" s="252">
        <f>E57</f>
        <v>3326.3711618753764</v>
      </c>
      <c r="E58" s="252">
        <f>D58*C58/100</f>
        <v>2348.2833887793827</v>
      </c>
    </row>
    <row r="59" spans="1:7" x14ac:dyDescent="0.2">
      <c r="A59" s="48" t="s">
        <v>71</v>
      </c>
      <c r="B59" s="49"/>
      <c r="C59" s="49"/>
      <c r="D59" s="50"/>
      <c r="E59" s="51">
        <f>E57+E58</f>
        <v>5674.6545506547591</v>
      </c>
    </row>
    <row r="60" spans="1:7" ht="13.5" thickBot="1" x14ac:dyDescent="0.25">
      <c r="A60" s="212" t="s">
        <v>5</v>
      </c>
      <c r="B60" s="250" t="s">
        <v>6</v>
      </c>
      <c r="C60" s="255">
        <v>2</v>
      </c>
      <c r="D60" s="252">
        <f>E59</f>
        <v>5674.6545506547591</v>
      </c>
      <c r="E60" s="252">
        <f>C60*D60</f>
        <v>11349.309101309518</v>
      </c>
      <c r="G60" s="4"/>
    </row>
    <row r="61" spans="1:7" ht="13.9" customHeight="1" thickBot="1" x14ac:dyDescent="0.25">
      <c r="D61" s="256" t="s">
        <v>198</v>
      </c>
      <c r="E61" s="257">
        <f>$B$46</f>
        <v>1</v>
      </c>
      <c r="F61" s="53">
        <f>E60*E61</f>
        <v>11349.309101309518</v>
      </c>
      <c r="G61" s="4"/>
    </row>
    <row r="62" spans="1:7" ht="11.25" customHeight="1" x14ac:dyDescent="0.2"/>
    <row r="63" spans="1:7" ht="13.5" thickBot="1" x14ac:dyDescent="0.25">
      <c r="A63" s="5" t="s">
        <v>90</v>
      </c>
    </row>
    <row r="64" spans="1:7" ht="13.5" thickBot="1" x14ac:dyDescent="0.25">
      <c r="A64" s="243" t="s">
        <v>63</v>
      </c>
      <c r="B64" s="244" t="s">
        <v>64</v>
      </c>
      <c r="C64" s="244" t="s">
        <v>40</v>
      </c>
      <c r="D64" s="245" t="s">
        <v>236</v>
      </c>
      <c r="E64" s="245" t="s">
        <v>65</v>
      </c>
      <c r="F64" s="246" t="s">
        <v>303</v>
      </c>
    </row>
    <row r="65" spans="1:7" x14ac:dyDescent="0.2">
      <c r="A65" s="206" t="s">
        <v>213</v>
      </c>
      <c r="B65" s="247" t="s">
        <v>8</v>
      </c>
      <c r="C65" s="247">
        <v>1</v>
      </c>
      <c r="D65" s="249">
        <f>D52</f>
        <v>1397.27</v>
      </c>
      <c r="E65" s="249">
        <f>C65*D65</f>
        <v>1397.27</v>
      </c>
    </row>
    <row r="66" spans="1:7" x14ac:dyDescent="0.2">
      <c r="A66" s="212" t="s">
        <v>7</v>
      </c>
      <c r="B66" s="250" t="s">
        <v>98</v>
      </c>
      <c r="C66" s="251"/>
      <c r="D66" s="252"/>
      <c r="E66" s="252"/>
    </row>
    <row r="67" spans="1:7" x14ac:dyDescent="0.2">
      <c r="A67" s="212"/>
      <c r="B67" s="250" t="s">
        <v>103</v>
      </c>
      <c r="C67" s="258">
        <f>C66*8/7</f>
        <v>0</v>
      </c>
      <c r="D67" s="252">
        <f>D65/220*0.2</f>
        <v>1.2702454545454547</v>
      </c>
      <c r="E67" s="252">
        <f>C67*D67</f>
        <v>0</v>
      </c>
    </row>
    <row r="68" spans="1:7" x14ac:dyDescent="0.2">
      <c r="A68" s="212" t="s">
        <v>34</v>
      </c>
      <c r="B68" s="250" t="s">
        <v>0</v>
      </c>
      <c r="C68" s="251"/>
      <c r="D68" s="252">
        <f>D65/220*2</f>
        <v>12.702454545454545</v>
      </c>
      <c r="E68" s="252">
        <f>C68*D68</f>
        <v>0</v>
      </c>
      <c r="G68" s="8" t="s">
        <v>249</v>
      </c>
    </row>
    <row r="69" spans="1:7" x14ac:dyDescent="0.2">
      <c r="A69" s="212" t="s">
        <v>99</v>
      </c>
      <c r="B69" s="250" t="s">
        <v>98</v>
      </c>
      <c r="C69" s="251"/>
      <c r="D69" s="252"/>
      <c r="E69" s="252"/>
      <c r="G69" s="8" t="s">
        <v>250</v>
      </c>
    </row>
    <row r="70" spans="1:7" x14ac:dyDescent="0.2">
      <c r="A70" s="212"/>
      <c r="B70" s="250" t="s">
        <v>103</v>
      </c>
      <c r="C70" s="258">
        <f>C69*8/7</f>
        <v>0</v>
      </c>
      <c r="D70" s="252">
        <f>D65/220*2*1.2</f>
        <v>15.242945454545453</v>
      </c>
      <c r="E70" s="252">
        <f>C70*D70</f>
        <v>0</v>
      </c>
      <c r="G70" s="8" t="s">
        <v>250</v>
      </c>
    </row>
    <row r="71" spans="1:7" x14ac:dyDescent="0.2">
      <c r="A71" s="212" t="s">
        <v>35</v>
      </c>
      <c r="B71" s="250" t="s">
        <v>0</v>
      </c>
      <c r="C71" s="251"/>
      <c r="D71" s="252">
        <f>D65/220*1.5</f>
        <v>9.5268409090909092</v>
      </c>
      <c r="E71" s="252">
        <f>C71*D71</f>
        <v>0</v>
      </c>
      <c r="G71" s="8" t="s">
        <v>251</v>
      </c>
    </row>
    <row r="72" spans="1:7" x14ac:dyDescent="0.2">
      <c r="A72" s="212" t="s">
        <v>215</v>
      </c>
      <c r="B72" s="250" t="s">
        <v>98</v>
      </c>
      <c r="C72" s="251"/>
      <c r="D72" s="252"/>
      <c r="E72" s="252"/>
      <c r="G72" s="8" t="s">
        <v>252</v>
      </c>
    </row>
    <row r="73" spans="1:7" x14ac:dyDescent="0.2">
      <c r="A73" s="212"/>
      <c r="B73" s="250" t="s">
        <v>103</v>
      </c>
      <c r="C73" s="252">
        <f>C72*8/7</f>
        <v>0</v>
      </c>
      <c r="D73" s="252">
        <f>D65/220*1.5*1.2</f>
        <v>11.43220909090909</v>
      </c>
      <c r="E73" s="252">
        <f>C73*D73</f>
        <v>0</v>
      </c>
      <c r="G73" s="8" t="s">
        <v>252</v>
      </c>
    </row>
    <row r="74" spans="1:7" ht="13.15" customHeight="1" x14ac:dyDescent="0.2">
      <c r="A74" s="212" t="s">
        <v>217</v>
      </c>
      <c r="B74" s="250" t="s">
        <v>33</v>
      </c>
      <c r="D74" s="252">
        <f>63/302*(SUM(E68:E73))</f>
        <v>0</v>
      </c>
      <c r="E74" s="252">
        <f>D74</f>
        <v>0</v>
      </c>
      <c r="G74" s="8" t="s">
        <v>216</v>
      </c>
    </row>
    <row r="75" spans="1:7" x14ac:dyDescent="0.2">
      <c r="A75" s="212" t="s">
        <v>1</v>
      </c>
      <c r="B75" s="250" t="s">
        <v>2</v>
      </c>
      <c r="C75" s="250">
        <f>+C56</f>
        <v>40</v>
      </c>
      <c r="D75" s="253">
        <f>SUM(E65:E74)</f>
        <v>1397.27</v>
      </c>
      <c r="E75" s="252">
        <f>C75*D75/100</f>
        <v>558.90800000000002</v>
      </c>
    </row>
    <row r="76" spans="1:7" x14ac:dyDescent="0.2">
      <c r="A76" s="48" t="s">
        <v>3</v>
      </c>
      <c r="B76" s="49"/>
      <c r="C76" s="49"/>
      <c r="D76" s="50"/>
      <c r="E76" s="51">
        <f>SUM(E65:E75)</f>
        <v>1956.1779999999999</v>
      </c>
    </row>
    <row r="77" spans="1:7" x14ac:dyDescent="0.2">
      <c r="A77" s="212" t="s">
        <v>4</v>
      </c>
      <c r="B77" s="250" t="s">
        <v>2</v>
      </c>
      <c r="C77" s="254">
        <f>'2.Encargos Sociais'!$C$37*100</f>
        <v>70.595951999999997</v>
      </c>
      <c r="D77" s="252">
        <f>E76</f>
        <v>1956.1779999999999</v>
      </c>
      <c r="E77" s="252">
        <f>D77*C77/100</f>
        <v>1380.9824819145599</v>
      </c>
    </row>
    <row r="78" spans="1:7" x14ac:dyDescent="0.2">
      <c r="A78" s="48" t="s">
        <v>71</v>
      </c>
      <c r="B78" s="49"/>
      <c r="C78" s="49"/>
      <c r="D78" s="50"/>
      <c r="E78" s="51">
        <f>E76+E77</f>
        <v>3337.1604819145596</v>
      </c>
    </row>
    <row r="79" spans="1:7" ht="13.5" thickBot="1" x14ac:dyDescent="0.25">
      <c r="A79" s="212" t="s">
        <v>5</v>
      </c>
      <c r="B79" s="250" t="s">
        <v>6</v>
      </c>
      <c r="C79" s="255"/>
      <c r="D79" s="252">
        <f>E78</f>
        <v>3337.1604819145596</v>
      </c>
      <c r="E79" s="252">
        <f>C79*D79</f>
        <v>0</v>
      </c>
    </row>
    <row r="80" spans="1:7" ht="13.5" thickBot="1" x14ac:dyDescent="0.25">
      <c r="D80" s="256" t="s">
        <v>198</v>
      </c>
      <c r="E80" s="257">
        <f>$B$46</f>
        <v>1</v>
      </c>
      <c r="F80" s="53">
        <f>E79*E80</f>
        <v>0</v>
      </c>
    </row>
    <row r="81" spans="1:7" ht="11.25" customHeight="1" x14ac:dyDescent="0.2"/>
    <row r="82" spans="1:7" ht="13.5" thickBot="1" x14ac:dyDescent="0.25">
      <c r="A82" s="5" t="s">
        <v>101</v>
      </c>
    </row>
    <row r="83" spans="1:7" s="10" customFormat="1" ht="13.15" customHeight="1" thickBot="1" x14ac:dyDescent="0.25">
      <c r="A83" s="243" t="s">
        <v>63</v>
      </c>
      <c r="B83" s="244" t="s">
        <v>64</v>
      </c>
      <c r="C83" s="244" t="s">
        <v>40</v>
      </c>
      <c r="D83" s="245" t="s">
        <v>236</v>
      </c>
      <c r="E83" s="245" t="s">
        <v>65</v>
      </c>
      <c r="F83" s="246" t="s">
        <v>303</v>
      </c>
      <c r="G83" s="8"/>
    </row>
    <row r="84" spans="1:7" x14ac:dyDescent="0.2">
      <c r="A84" s="206" t="s">
        <v>287</v>
      </c>
      <c r="B84" s="247" t="s">
        <v>8</v>
      </c>
      <c r="C84" s="247">
        <v>1</v>
      </c>
      <c r="D84" s="248">
        <v>1673.28</v>
      </c>
      <c r="E84" s="249">
        <f>C84*D84</f>
        <v>1673.28</v>
      </c>
    </row>
    <row r="85" spans="1:7" x14ac:dyDescent="0.2">
      <c r="A85" s="206" t="s">
        <v>288</v>
      </c>
      <c r="B85" s="247" t="s">
        <v>8</v>
      </c>
      <c r="C85" s="247">
        <v>1</v>
      </c>
      <c r="D85" s="248">
        <v>1100</v>
      </c>
      <c r="E85" s="249"/>
    </row>
    <row r="86" spans="1:7" x14ac:dyDescent="0.2">
      <c r="A86" s="212" t="s">
        <v>34</v>
      </c>
      <c r="B86" s="250" t="s">
        <v>0</v>
      </c>
      <c r="C86" s="251">
        <v>30</v>
      </c>
      <c r="D86" s="252">
        <f>D84/220*2</f>
        <v>15.211636363636364</v>
      </c>
      <c r="E86" s="252">
        <f>C86*D86</f>
        <v>456.34909090909093</v>
      </c>
      <c r="G86" s="8" t="s">
        <v>249</v>
      </c>
    </row>
    <row r="87" spans="1:7" x14ac:dyDescent="0.2">
      <c r="A87" s="212" t="s">
        <v>35</v>
      </c>
      <c r="B87" s="250" t="s">
        <v>0</v>
      </c>
      <c r="C87" s="251">
        <v>45</v>
      </c>
      <c r="D87" s="252">
        <f>D84/220*1.5</f>
        <v>11.408727272727273</v>
      </c>
      <c r="E87" s="252">
        <f>C87*D87</f>
        <v>513.39272727272726</v>
      </c>
      <c r="G87" s="8" t="s">
        <v>251</v>
      </c>
    </row>
    <row r="88" spans="1:7" ht="13.15" customHeight="1" x14ac:dyDescent="0.2">
      <c r="A88" s="212" t="s">
        <v>217</v>
      </c>
      <c r="B88" s="250" t="s">
        <v>33</v>
      </c>
      <c r="D88" s="252">
        <f>63/302*(SUM(E86:E87))</f>
        <v>202.29713425647202</v>
      </c>
      <c r="E88" s="252">
        <f>D88</f>
        <v>202.29713425647202</v>
      </c>
      <c r="G88" s="8" t="s">
        <v>216</v>
      </c>
    </row>
    <row r="89" spans="1:7" x14ac:dyDescent="0.2">
      <c r="A89" s="212" t="s">
        <v>214</v>
      </c>
      <c r="B89" s="250"/>
      <c r="C89" s="259">
        <v>1</v>
      </c>
      <c r="D89" s="252"/>
      <c r="E89" s="252"/>
    </row>
    <row r="90" spans="1:7" x14ac:dyDescent="0.2">
      <c r="A90" s="212" t="s">
        <v>1</v>
      </c>
      <c r="B90" s="250" t="s">
        <v>2</v>
      </c>
      <c r="C90" s="255">
        <v>40</v>
      </c>
      <c r="D90" s="253">
        <f>IF(C89=2,SUM(E84:E88),IF(C89=1,(SUM(E84:E88))*D85/D84,0))</f>
        <v>1870.4884105960266</v>
      </c>
      <c r="E90" s="252">
        <f>C90*D90/100</f>
        <v>748.19536423841066</v>
      </c>
    </row>
    <row r="91" spans="1:7" s="9" customFormat="1" x14ac:dyDescent="0.2">
      <c r="A91" s="40" t="s">
        <v>3</v>
      </c>
      <c r="B91" s="49"/>
      <c r="C91" s="49"/>
      <c r="D91" s="50"/>
      <c r="E91" s="42">
        <f>SUM(E84:E90)</f>
        <v>3593.5143166767007</v>
      </c>
      <c r="F91" s="27"/>
      <c r="G91" s="27"/>
    </row>
    <row r="92" spans="1:7" x14ac:dyDescent="0.2">
      <c r="A92" s="212" t="s">
        <v>4</v>
      </c>
      <c r="B92" s="250" t="s">
        <v>2</v>
      </c>
      <c r="C92" s="254">
        <f>'2.Encargos Sociais'!$C$37*100</f>
        <v>70.595951999999997</v>
      </c>
      <c r="D92" s="252">
        <f>E91</f>
        <v>3593.5143166767007</v>
      </c>
      <c r="E92" s="252">
        <f>D92*C92/100</f>
        <v>2536.8756421142116</v>
      </c>
    </row>
    <row r="93" spans="1:7" s="9" customFormat="1" x14ac:dyDescent="0.2">
      <c r="A93" s="40" t="s">
        <v>253</v>
      </c>
      <c r="B93" s="174"/>
      <c r="C93" s="174"/>
      <c r="D93" s="175"/>
      <c r="E93" s="42">
        <f>E91+E92</f>
        <v>6130.3899587909127</v>
      </c>
      <c r="F93" s="27"/>
      <c r="G93" s="27"/>
    </row>
    <row r="94" spans="1:7" ht="13.5" thickBot="1" x14ac:dyDescent="0.25">
      <c r="A94" s="212" t="s">
        <v>5</v>
      </c>
      <c r="B94" s="250" t="s">
        <v>6</v>
      </c>
      <c r="C94" s="255">
        <v>1</v>
      </c>
      <c r="D94" s="252">
        <f>E93</f>
        <v>6130.3899587909127</v>
      </c>
      <c r="E94" s="252">
        <f>C94*D94</f>
        <v>6130.3899587909127</v>
      </c>
    </row>
    <row r="95" spans="1:7" ht="13.5" thickBot="1" x14ac:dyDescent="0.25">
      <c r="D95" s="256" t="s">
        <v>198</v>
      </c>
      <c r="E95" s="257">
        <f>$B$46</f>
        <v>1</v>
      </c>
      <c r="F95" s="53">
        <f>E94*E95</f>
        <v>6130.3899587909127</v>
      </c>
    </row>
    <row r="96" spans="1:7" ht="11.25" customHeight="1" x14ac:dyDescent="0.2"/>
    <row r="97" spans="1:7" ht="13.5" thickBot="1" x14ac:dyDescent="0.25">
      <c r="A97" s="5" t="s">
        <v>102</v>
      </c>
    </row>
    <row r="98" spans="1:7" ht="13.5" thickBot="1" x14ac:dyDescent="0.25">
      <c r="A98" s="243" t="s">
        <v>63</v>
      </c>
      <c r="B98" s="244" t="s">
        <v>64</v>
      </c>
      <c r="C98" s="244" t="s">
        <v>40</v>
      </c>
      <c r="D98" s="245" t="s">
        <v>236</v>
      </c>
      <c r="E98" s="245" t="s">
        <v>65</v>
      </c>
      <c r="F98" s="246" t="s">
        <v>303</v>
      </c>
    </row>
    <row r="99" spans="1:7" x14ac:dyDescent="0.2">
      <c r="A99" s="206" t="s">
        <v>287</v>
      </c>
      <c r="B99" s="247" t="s">
        <v>8</v>
      </c>
      <c r="C99" s="247">
        <v>1</v>
      </c>
      <c r="D99" s="249">
        <f>D84</f>
        <v>1673.28</v>
      </c>
      <c r="E99" s="249">
        <f>C99*D99</f>
        <v>1673.28</v>
      </c>
    </row>
    <row r="100" spans="1:7" x14ac:dyDescent="0.2">
      <c r="A100" s="206" t="s">
        <v>288</v>
      </c>
      <c r="B100" s="247" t="s">
        <v>8</v>
      </c>
      <c r="C100" s="247">
        <v>1</v>
      </c>
      <c r="D100" s="252">
        <f>D85</f>
        <v>1100</v>
      </c>
      <c r="E100" s="252"/>
    </row>
    <row r="101" spans="1:7" x14ac:dyDescent="0.2">
      <c r="A101" s="212" t="s">
        <v>7</v>
      </c>
      <c r="B101" s="250" t="s">
        <v>98</v>
      </c>
      <c r="C101" s="251"/>
      <c r="D101" s="212"/>
      <c r="E101" s="212"/>
    </row>
    <row r="102" spans="1:7" x14ac:dyDescent="0.2">
      <c r="A102" s="212"/>
      <c r="B102" s="250" t="s">
        <v>103</v>
      </c>
      <c r="C102" s="252">
        <f>C101*8/7</f>
        <v>0</v>
      </c>
      <c r="D102" s="252">
        <f>D99/220*0.2</f>
        <v>1.5211636363636365</v>
      </c>
      <c r="E102" s="252">
        <f>C102*D102</f>
        <v>0</v>
      </c>
    </row>
    <row r="103" spans="1:7" x14ac:dyDescent="0.2">
      <c r="A103" s="212" t="s">
        <v>34</v>
      </c>
      <c r="B103" s="250" t="s">
        <v>0</v>
      </c>
      <c r="C103" s="251"/>
      <c r="D103" s="252">
        <f>D99/220*2</f>
        <v>15.211636363636364</v>
      </c>
      <c r="E103" s="252">
        <f>C103*D103</f>
        <v>0</v>
      </c>
      <c r="G103" s="8" t="s">
        <v>249</v>
      </c>
    </row>
    <row r="104" spans="1:7" x14ac:dyDescent="0.2">
      <c r="A104" s="212" t="s">
        <v>99</v>
      </c>
      <c r="B104" s="250" t="s">
        <v>98</v>
      </c>
      <c r="C104" s="251"/>
      <c r="D104" s="252"/>
      <c r="E104" s="252"/>
      <c r="G104" s="8" t="s">
        <v>250</v>
      </c>
    </row>
    <row r="105" spans="1:7" x14ac:dyDescent="0.2">
      <c r="A105" s="212"/>
      <c r="B105" s="250" t="s">
        <v>103</v>
      </c>
      <c r="C105" s="252">
        <f>C104*8/7</f>
        <v>0</v>
      </c>
      <c r="D105" s="252">
        <f>D99/220*2*1.2</f>
        <v>18.253963636363636</v>
      </c>
      <c r="E105" s="252">
        <f>C105*D105</f>
        <v>0</v>
      </c>
      <c r="G105" s="8" t="s">
        <v>250</v>
      </c>
    </row>
    <row r="106" spans="1:7" x14ac:dyDescent="0.2">
      <c r="A106" s="212" t="s">
        <v>35</v>
      </c>
      <c r="B106" s="250" t="s">
        <v>0</v>
      </c>
      <c r="C106" s="251"/>
      <c r="D106" s="252">
        <f>D99/220*1.5</f>
        <v>11.408727272727273</v>
      </c>
      <c r="E106" s="252">
        <f>C106*D106</f>
        <v>0</v>
      </c>
      <c r="G106" s="8" t="s">
        <v>251</v>
      </c>
    </row>
    <row r="107" spans="1:7" x14ac:dyDescent="0.2">
      <c r="A107" s="212" t="s">
        <v>215</v>
      </c>
      <c r="B107" s="250" t="s">
        <v>98</v>
      </c>
      <c r="C107" s="251"/>
      <c r="D107" s="252"/>
      <c r="E107" s="252"/>
      <c r="G107" s="8" t="s">
        <v>252</v>
      </c>
    </row>
    <row r="108" spans="1:7" x14ac:dyDescent="0.2">
      <c r="A108" s="212"/>
      <c r="B108" s="250" t="s">
        <v>103</v>
      </c>
      <c r="C108" s="252">
        <f>C107*8/7</f>
        <v>0</v>
      </c>
      <c r="D108" s="252">
        <f>D99/220*1.5*1.2</f>
        <v>13.690472727272727</v>
      </c>
      <c r="E108" s="252">
        <f>C108*D108</f>
        <v>0</v>
      </c>
      <c r="G108" s="8" t="s">
        <v>252</v>
      </c>
    </row>
    <row r="109" spans="1:7" ht="13.15" customHeight="1" x14ac:dyDescent="0.2">
      <c r="A109" s="212" t="s">
        <v>217</v>
      </c>
      <c r="B109" s="250" t="s">
        <v>33</v>
      </c>
      <c r="D109" s="252">
        <f>63/302*(SUM(E103:E108))</f>
        <v>0</v>
      </c>
      <c r="E109" s="252">
        <f>D109</f>
        <v>0</v>
      </c>
      <c r="G109" s="8" t="s">
        <v>216</v>
      </c>
    </row>
    <row r="110" spans="1:7" x14ac:dyDescent="0.2">
      <c r="A110" s="212" t="s">
        <v>214</v>
      </c>
      <c r="B110" s="250"/>
      <c r="C110" s="259"/>
      <c r="D110" s="252"/>
      <c r="E110" s="252"/>
    </row>
    <row r="111" spans="1:7" x14ac:dyDescent="0.2">
      <c r="A111" s="212" t="s">
        <v>1</v>
      </c>
      <c r="B111" s="250" t="s">
        <v>2</v>
      </c>
      <c r="C111" s="253">
        <f>+C90</f>
        <v>40</v>
      </c>
      <c r="D111" s="253">
        <f>IF(C110=2,SUM(E99:E109),IF(C110=1,SUM(E99:E109)*D100/D99,0))</f>
        <v>0</v>
      </c>
      <c r="E111" s="252">
        <f>C111*D111/100</f>
        <v>0</v>
      </c>
    </row>
    <row r="112" spans="1:7" s="9" customFormat="1" x14ac:dyDescent="0.2">
      <c r="A112" s="48" t="s">
        <v>3</v>
      </c>
      <c r="B112" s="49"/>
      <c r="C112" s="49"/>
      <c r="D112" s="50"/>
      <c r="E112" s="51">
        <f>SUM(E99:E111)</f>
        <v>1673.28</v>
      </c>
      <c r="F112" s="27"/>
      <c r="G112" s="27"/>
    </row>
    <row r="113" spans="1:7" x14ac:dyDescent="0.2">
      <c r="A113" s="212" t="s">
        <v>4</v>
      </c>
      <c r="B113" s="250" t="s">
        <v>2</v>
      </c>
      <c r="C113" s="254">
        <f>'2.Encargos Sociais'!$C$37*100</f>
        <v>70.595951999999997</v>
      </c>
      <c r="D113" s="252">
        <f>E112</f>
        <v>1673.28</v>
      </c>
      <c r="E113" s="252">
        <f>D113*C113/100</f>
        <v>1181.2679456256001</v>
      </c>
    </row>
    <row r="114" spans="1:7" s="9" customFormat="1" x14ac:dyDescent="0.2">
      <c r="A114" s="48" t="s">
        <v>253</v>
      </c>
      <c r="B114" s="49"/>
      <c r="C114" s="49"/>
      <c r="D114" s="50"/>
      <c r="E114" s="51">
        <f>E112+E113</f>
        <v>2854.5479456255998</v>
      </c>
      <c r="F114" s="27"/>
      <c r="G114" s="27"/>
    </row>
    <row r="115" spans="1:7" ht="13.5" thickBot="1" x14ac:dyDescent="0.25">
      <c r="A115" s="212" t="s">
        <v>5</v>
      </c>
      <c r="B115" s="250" t="s">
        <v>6</v>
      </c>
      <c r="C115" s="255"/>
      <c r="D115" s="252">
        <f>E114</f>
        <v>2854.5479456255998</v>
      </c>
      <c r="E115" s="252">
        <f>C115*D115</f>
        <v>0</v>
      </c>
    </row>
    <row r="116" spans="1:7" ht="13.5" thickBot="1" x14ac:dyDescent="0.25">
      <c r="D116" s="256" t="s">
        <v>198</v>
      </c>
      <c r="E116" s="257">
        <f>$B$46</f>
        <v>1</v>
      </c>
      <c r="F116" s="53">
        <f>E115*E116</f>
        <v>0</v>
      </c>
    </row>
    <row r="117" spans="1:7" ht="11.25" customHeight="1" x14ac:dyDescent="0.2">
      <c r="G117" s="7"/>
    </row>
    <row r="118" spans="1:7" ht="13.5" thickBot="1" x14ac:dyDescent="0.25">
      <c r="A118" s="5" t="s">
        <v>104</v>
      </c>
      <c r="B118" s="260"/>
      <c r="D118" s="5"/>
      <c r="E118" s="5"/>
      <c r="G118" s="7"/>
    </row>
    <row r="119" spans="1:7" ht="13.5" thickBot="1" x14ac:dyDescent="0.25">
      <c r="A119" s="243" t="s">
        <v>63</v>
      </c>
      <c r="B119" s="244" t="s">
        <v>64</v>
      </c>
      <c r="C119" s="244" t="s">
        <v>40</v>
      </c>
      <c r="D119" s="245" t="s">
        <v>236</v>
      </c>
      <c r="E119" s="245" t="s">
        <v>65</v>
      </c>
      <c r="F119" s="246" t="s">
        <v>303</v>
      </c>
      <c r="G119" s="7"/>
    </row>
    <row r="120" spans="1:7" x14ac:dyDescent="0.2">
      <c r="A120" s="212" t="s">
        <v>91</v>
      </c>
      <c r="B120" s="250" t="s">
        <v>33</v>
      </c>
      <c r="C120" s="261">
        <v>1</v>
      </c>
      <c r="D120" s="262">
        <v>0</v>
      </c>
      <c r="E120" s="252"/>
      <c r="G120" s="7"/>
    </row>
    <row r="121" spans="1:7" x14ac:dyDescent="0.2">
      <c r="A121" s="212" t="s">
        <v>92</v>
      </c>
      <c r="B121" s="250" t="s">
        <v>93</v>
      </c>
      <c r="C121" s="263">
        <v>18</v>
      </c>
      <c r="D121" s="252"/>
      <c r="E121" s="252"/>
      <c r="G121" s="7"/>
    </row>
    <row r="122" spans="1:7" x14ac:dyDescent="0.2">
      <c r="A122" s="212" t="s">
        <v>72</v>
      </c>
      <c r="B122" s="250" t="s">
        <v>9</v>
      </c>
      <c r="C122" s="264">
        <f>$C$121*2*(C60+C79)</f>
        <v>72</v>
      </c>
      <c r="D122" s="249">
        <f>IFERROR((($C$121*2*$D$120)-(E52*0.06*C121/26))/($C$121*2),"-")</f>
        <v>-1.6122346153846152</v>
      </c>
      <c r="E122" s="252">
        <f>IFERROR(C122*D122,"-")</f>
        <v>-116.0808923076923</v>
      </c>
      <c r="G122" s="7"/>
    </row>
    <row r="123" spans="1:7" ht="13.5" thickBot="1" x14ac:dyDescent="0.25">
      <c r="A123" s="206" t="s">
        <v>44</v>
      </c>
      <c r="B123" s="247" t="s">
        <v>9</v>
      </c>
      <c r="C123" s="264">
        <f>$C$121*2*(C94+C115)</f>
        <v>36</v>
      </c>
      <c r="D123" s="249">
        <f>IFERROR((($C$121*2*$D$120)-(E84*0.06*C121/26))/($C$121*2),"-")</f>
        <v>-1.9307076923076925</v>
      </c>
      <c r="E123" s="249">
        <f>IFERROR(C123*D123,"-")</f>
        <v>-69.505476923076927</v>
      </c>
      <c r="G123" s="7"/>
    </row>
    <row r="124" spans="1:7" ht="13.5" thickBot="1" x14ac:dyDescent="0.25">
      <c r="F124" s="12">
        <f>SUM(E122:E123)</f>
        <v>-185.58636923076921</v>
      </c>
      <c r="G124" s="7"/>
    </row>
    <row r="125" spans="1:7" ht="11.25" customHeight="1" x14ac:dyDescent="0.2">
      <c r="G125" s="7"/>
    </row>
    <row r="126" spans="1:7" ht="13.5" thickBot="1" x14ac:dyDescent="0.25">
      <c r="A126" s="5" t="s">
        <v>125</v>
      </c>
      <c r="F126" s="13"/>
      <c r="G126" s="7"/>
    </row>
    <row r="127" spans="1:7" ht="13.5" thickBot="1" x14ac:dyDescent="0.25">
      <c r="A127" s="243" t="s">
        <v>63</v>
      </c>
      <c r="B127" s="244" t="s">
        <v>64</v>
      </c>
      <c r="C127" s="244" t="s">
        <v>40</v>
      </c>
      <c r="D127" s="245" t="s">
        <v>236</v>
      </c>
      <c r="E127" s="245" t="s">
        <v>65</v>
      </c>
      <c r="F127" s="246" t="s">
        <v>303</v>
      </c>
      <c r="G127" s="7"/>
    </row>
    <row r="128" spans="1:7" x14ac:dyDescent="0.2">
      <c r="A128" s="212" t="str">
        <f>+A122</f>
        <v>Coletor</v>
      </c>
      <c r="B128" s="250" t="s">
        <v>10</v>
      </c>
      <c r="C128" s="265">
        <f>C121*(E36+E37)</f>
        <v>36</v>
      </c>
      <c r="D128" s="266">
        <v>18.2</v>
      </c>
      <c r="E128" s="257">
        <f>C128*D128</f>
        <v>655.19999999999993</v>
      </c>
      <c r="F128" s="13"/>
      <c r="G128" s="7"/>
    </row>
    <row r="129" spans="1:7" ht="13.5" thickBot="1" x14ac:dyDescent="0.25">
      <c r="A129" s="212" t="str">
        <f>+A123</f>
        <v>Motorista</v>
      </c>
      <c r="B129" s="250" t="s">
        <v>10</v>
      </c>
      <c r="C129" s="265">
        <f>C121*(E38+E39)</f>
        <v>18</v>
      </c>
      <c r="D129" s="266">
        <v>11.7</v>
      </c>
      <c r="E129" s="257">
        <f>C129*D129</f>
        <v>210.6</v>
      </c>
      <c r="F129" s="13"/>
      <c r="G129" s="7"/>
    </row>
    <row r="130" spans="1:7" ht="13.5" thickBot="1" x14ac:dyDescent="0.25">
      <c r="F130" s="12">
        <f>SUM(E128:E129)</f>
        <v>865.8</v>
      </c>
      <c r="G130" s="7"/>
    </row>
    <row r="131" spans="1:7" x14ac:dyDescent="0.2">
      <c r="G131" s="7"/>
    </row>
    <row r="132" spans="1:7" ht="13.5" thickBot="1" x14ac:dyDescent="0.25">
      <c r="A132" s="5" t="s">
        <v>126</v>
      </c>
      <c r="F132" s="13"/>
      <c r="G132" s="7"/>
    </row>
    <row r="133" spans="1:7" ht="13.5" thickBot="1" x14ac:dyDescent="0.25">
      <c r="A133" s="243" t="s">
        <v>63</v>
      </c>
      <c r="B133" s="244" t="s">
        <v>64</v>
      </c>
      <c r="C133" s="244" t="s">
        <v>40</v>
      </c>
      <c r="D133" s="245" t="s">
        <v>236</v>
      </c>
      <c r="E133" s="245" t="s">
        <v>65</v>
      </c>
      <c r="F133" s="246" t="s">
        <v>303</v>
      </c>
      <c r="G133" s="7"/>
    </row>
    <row r="134" spans="1:7" x14ac:dyDescent="0.2">
      <c r="A134" s="212" t="str">
        <f>+A128</f>
        <v>Coletor</v>
      </c>
      <c r="B134" s="250" t="s">
        <v>10</v>
      </c>
      <c r="C134" s="265">
        <f>E36+E37</f>
        <v>2</v>
      </c>
      <c r="D134" s="266"/>
      <c r="E134" s="257">
        <f>C134*D134</f>
        <v>0</v>
      </c>
      <c r="F134" s="13"/>
      <c r="G134" s="7"/>
    </row>
    <row r="135" spans="1:7" ht="13.5" thickBot="1" x14ac:dyDescent="0.25">
      <c r="A135" s="212" t="str">
        <f>+A129</f>
        <v>Motorista</v>
      </c>
      <c r="B135" s="250" t="s">
        <v>10</v>
      </c>
      <c r="C135" s="265">
        <f>E38+E39</f>
        <v>1</v>
      </c>
      <c r="D135" s="266">
        <v>88.75</v>
      </c>
      <c r="E135" s="257">
        <f>C135*D135</f>
        <v>88.75</v>
      </c>
      <c r="F135" s="13"/>
      <c r="G135" s="7"/>
    </row>
    <row r="136" spans="1:7" ht="13.5" thickBot="1" x14ac:dyDescent="0.25">
      <c r="D136" s="256" t="s">
        <v>198</v>
      </c>
      <c r="E136" s="257">
        <f>$B$46</f>
        <v>1</v>
      </c>
      <c r="F136" s="12">
        <f>SUM(E134:E135)*E136</f>
        <v>88.75</v>
      </c>
      <c r="G136" s="7"/>
    </row>
    <row r="137" spans="1:7" ht="13.5" thickBot="1" x14ac:dyDescent="0.25">
      <c r="G137" s="7"/>
    </row>
    <row r="138" spans="1:7" ht="13.5" thickBot="1" x14ac:dyDescent="0.25">
      <c r="A138" s="14" t="s">
        <v>94</v>
      </c>
      <c r="B138" s="15"/>
      <c r="C138" s="15"/>
      <c r="D138" s="16"/>
      <c r="E138" s="17"/>
      <c r="F138" s="12">
        <f>F136+F130+F124+F116+F95+F80+F61</f>
        <v>18248.662690869663</v>
      </c>
      <c r="G138" s="7"/>
    </row>
    <row r="140" spans="1:7" x14ac:dyDescent="0.2">
      <c r="A140" s="9" t="s">
        <v>45</v>
      </c>
      <c r="G140" s="7"/>
    </row>
    <row r="141" spans="1:7" ht="11.25" customHeight="1" x14ac:dyDescent="0.2">
      <c r="G141" s="7"/>
    </row>
    <row r="142" spans="1:7" ht="13.9" customHeight="1" x14ac:dyDescent="0.2">
      <c r="A142" s="5" t="s">
        <v>200</v>
      </c>
      <c r="G142" s="7"/>
    </row>
    <row r="143" spans="1:7" ht="11.25" customHeight="1" thickBot="1" x14ac:dyDescent="0.25">
      <c r="G143" s="7"/>
    </row>
    <row r="144" spans="1:7" ht="27.75" customHeight="1" thickBot="1" x14ac:dyDescent="0.25">
      <c r="A144" s="243" t="s">
        <v>63</v>
      </c>
      <c r="B144" s="244" t="s">
        <v>64</v>
      </c>
      <c r="C144" s="267" t="s">
        <v>254</v>
      </c>
      <c r="D144" s="245" t="s">
        <v>236</v>
      </c>
      <c r="E144" s="245" t="s">
        <v>65</v>
      </c>
      <c r="F144" s="246" t="s">
        <v>303</v>
      </c>
      <c r="G144" s="7"/>
    </row>
    <row r="145" spans="1:7" x14ac:dyDescent="0.2">
      <c r="A145" s="206" t="s">
        <v>66</v>
      </c>
      <c r="B145" s="247" t="s">
        <v>10</v>
      </c>
      <c r="C145" s="268">
        <v>6</v>
      </c>
      <c r="D145" s="248">
        <v>170</v>
      </c>
      <c r="E145" s="249">
        <f>IFERROR(D145/C145,0)</f>
        <v>28.333333333333332</v>
      </c>
      <c r="G145" s="7"/>
    </row>
    <row r="146" spans="1:7" ht="13.15" customHeight="1" x14ac:dyDescent="0.2">
      <c r="A146" s="212" t="s">
        <v>29</v>
      </c>
      <c r="B146" s="250" t="s">
        <v>10</v>
      </c>
      <c r="C146" s="268">
        <v>3</v>
      </c>
      <c r="D146" s="248">
        <v>100</v>
      </c>
      <c r="E146" s="249">
        <f t="shared" ref="E146:E154" si="1">IFERROR(D146/C146,0)</f>
        <v>33.333333333333336</v>
      </c>
      <c r="G146" s="7"/>
    </row>
    <row r="147" spans="1:7" x14ac:dyDescent="0.2">
      <c r="A147" s="212" t="s">
        <v>30</v>
      </c>
      <c r="B147" s="250" t="s">
        <v>10</v>
      </c>
      <c r="C147" s="268">
        <v>3</v>
      </c>
      <c r="D147" s="248">
        <v>50</v>
      </c>
      <c r="E147" s="249">
        <f t="shared" si="1"/>
        <v>16.666666666666668</v>
      </c>
      <c r="G147" s="7"/>
    </row>
    <row r="148" spans="1:7" ht="13.15" customHeight="1" x14ac:dyDescent="0.2">
      <c r="A148" s="212" t="s">
        <v>31</v>
      </c>
      <c r="B148" s="250" t="s">
        <v>10</v>
      </c>
      <c r="C148" s="268">
        <v>3</v>
      </c>
      <c r="D148" s="248">
        <v>25</v>
      </c>
      <c r="E148" s="249">
        <f t="shared" si="1"/>
        <v>8.3333333333333339</v>
      </c>
      <c r="G148" s="7"/>
    </row>
    <row r="149" spans="1:7" ht="13.9" customHeight="1" x14ac:dyDescent="0.2">
      <c r="A149" s="212" t="s">
        <v>68</v>
      </c>
      <c r="B149" s="250" t="s">
        <v>48</v>
      </c>
      <c r="C149" s="268">
        <v>3</v>
      </c>
      <c r="D149" s="248">
        <v>80</v>
      </c>
      <c r="E149" s="249">
        <f t="shared" si="1"/>
        <v>26.666666666666668</v>
      </c>
      <c r="G149" s="7"/>
    </row>
    <row r="150" spans="1:7" ht="13.15" customHeight="1" x14ac:dyDescent="0.2">
      <c r="A150" s="212" t="s">
        <v>95</v>
      </c>
      <c r="B150" s="250" t="s">
        <v>48</v>
      </c>
      <c r="C150" s="268">
        <v>1</v>
      </c>
      <c r="D150" s="248">
        <v>20</v>
      </c>
      <c r="E150" s="249">
        <f t="shared" si="1"/>
        <v>20</v>
      </c>
    </row>
    <row r="151" spans="1:7" x14ac:dyDescent="0.2">
      <c r="A151" s="212" t="s">
        <v>67</v>
      </c>
      <c r="B151" s="250" t="s">
        <v>10</v>
      </c>
      <c r="C151" s="268">
        <v>4</v>
      </c>
      <c r="D151" s="248">
        <v>60</v>
      </c>
      <c r="E151" s="249">
        <f t="shared" si="1"/>
        <v>15</v>
      </c>
    </row>
    <row r="152" spans="1:7" s="1" customFormat="1" x14ac:dyDescent="0.2">
      <c r="A152" s="269" t="s">
        <v>11</v>
      </c>
      <c r="B152" s="270" t="s">
        <v>10</v>
      </c>
      <c r="C152" s="268">
        <v>6</v>
      </c>
      <c r="D152" s="248">
        <v>30</v>
      </c>
      <c r="E152" s="249">
        <f t="shared" si="1"/>
        <v>5</v>
      </c>
      <c r="F152" s="271"/>
      <c r="G152" s="23"/>
    </row>
    <row r="153" spans="1:7" x14ac:dyDescent="0.2">
      <c r="A153" s="212" t="s">
        <v>32</v>
      </c>
      <c r="B153" s="250" t="s">
        <v>48</v>
      </c>
      <c r="C153" s="268">
        <v>0.5</v>
      </c>
      <c r="D153" s="248">
        <v>25</v>
      </c>
      <c r="E153" s="249">
        <f t="shared" si="1"/>
        <v>50</v>
      </c>
    </row>
    <row r="154" spans="1:7" ht="13.15" customHeight="1" x14ac:dyDescent="0.2">
      <c r="A154" s="212" t="s">
        <v>62</v>
      </c>
      <c r="B154" s="250" t="s">
        <v>49</v>
      </c>
      <c r="C154" s="268">
        <v>1</v>
      </c>
      <c r="D154" s="248">
        <v>20</v>
      </c>
      <c r="E154" s="249">
        <f t="shared" si="1"/>
        <v>20</v>
      </c>
    </row>
    <row r="155" spans="1:7" x14ac:dyDescent="0.2">
      <c r="A155" s="212" t="s">
        <v>201</v>
      </c>
      <c r="B155" s="250" t="s">
        <v>127</v>
      </c>
      <c r="C155" s="272">
        <v>1</v>
      </c>
      <c r="D155" s="248">
        <v>100</v>
      </c>
      <c r="E155" s="252">
        <f t="shared" ref="E155:E156" si="2">C155*D155</f>
        <v>100</v>
      </c>
    </row>
    <row r="156" spans="1:7" ht="13.5" thickBot="1" x14ac:dyDescent="0.25">
      <c r="A156" s="212" t="s">
        <v>5</v>
      </c>
      <c r="B156" s="250" t="s">
        <v>6</v>
      </c>
      <c r="C156" s="273">
        <f>E36+E37</f>
        <v>2</v>
      </c>
      <c r="D156" s="252">
        <f>+SUM(E145:E155)</f>
        <v>323.33333333333337</v>
      </c>
      <c r="E156" s="252">
        <f t="shared" si="2"/>
        <v>646.66666666666674</v>
      </c>
    </row>
    <row r="157" spans="1:7" ht="13.5" thickBot="1" x14ac:dyDescent="0.25">
      <c r="D157" s="256" t="s">
        <v>198</v>
      </c>
      <c r="E157" s="257">
        <f>$B$46</f>
        <v>1</v>
      </c>
      <c r="F157" s="53">
        <f>E156*E157</f>
        <v>646.66666666666674</v>
      </c>
    </row>
    <row r="158" spans="1:7" ht="11.25" customHeight="1" x14ac:dyDescent="0.2"/>
    <row r="159" spans="1:7" ht="13.9" customHeight="1" x14ac:dyDescent="0.2">
      <c r="A159" s="5" t="s">
        <v>202</v>
      </c>
    </row>
    <row r="160" spans="1:7" ht="11.25" customHeight="1" thickBot="1" x14ac:dyDescent="0.25"/>
    <row r="161" spans="1:7" ht="26.25" thickBot="1" x14ac:dyDescent="0.25">
      <c r="A161" s="243" t="s">
        <v>63</v>
      </c>
      <c r="B161" s="244" t="s">
        <v>64</v>
      </c>
      <c r="C161" s="267" t="s">
        <v>254</v>
      </c>
      <c r="D161" s="245" t="s">
        <v>236</v>
      </c>
      <c r="E161" s="245" t="s">
        <v>65</v>
      </c>
      <c r="F161" s="246" t="s">
        <v>303</v>
      </c>
    </row>
    <row r="162" spans="1:7" x14ac:dyDescent="0.2">
      <c r="A162" s="206" t="s">
        <v>66</v>
      </c>
      <c r="B162" s="247" t="s">
        <v>10</v>
      </c>
      <c r="C162" s="268">
        <v>12</v>
      </c>
      <c r="D162" s="249">
        <f>+D145</f>
        <v>170</v>
      </c>
      <c r="E162" s="249">
        <f>IFERROR(D162/C162,0)</f>
        <v>14.166666666666666</v>
      </c>
    </row>
    <row r="163" spans="1:7" x14ac:dyDescent="0.2">
      <c r="A163" s="212" t="s">
        <v>29</v>
      </c>
      <c r="B163" s="250" t="s">
        <v>10</v>
      </c>
      <c r="C163" s="268">
        <v>6</v>
      </c>
      <c r="D163" s="252">
        <f>+D146</f>
        <v>100</v>
      </c>
      <c r="E163" s="249">
        <f t="shared" ref="E163:E167" si="3">IFERROR(D163/C163,0)</f>
        <v>16.666666666666668</v>
      </c>
    </row>
    <row r="164" spans="1:7" x14ac:dyDescent="0.2">
      <c r="A164" s="212" t="s">
        <v>30</v>
      </c>
      <c r="B164" s="250" t="s">
        <v>10</v>
      </c>
      <c r="C164" s="268">
        <v>6</v>
      </c>
      <c r="D164" s="252">
        <f>+D147</f>
        <v>50</v>
      </c>
      <c r="E164" s="249">
        <f t="shared" si="3"/>
        <v>8.3333333333333339</v>
      </c>
    </row>
    <row r="165" spans="1:7" x14ac:dyDescent="0.2">
      <c r="A165" s="212" t="s">
        <v>68</v>
      </c>
      <c r="B165" s="250" t="s">
        <v>48</v>
      </c>
      <c r="C165" s="268">
        <v>6</v>
      </c>
      <c r="D165" s="252">
        <f>+D149</f>
        <v>80</v>
      </c>
      <c r="E165" s="249">
        <f t="shared" si="3"/>
        <v>13.333333333333334</v>
      </c>
    </row>
    <row r="166" spans="1:7" x14ac:dyDescent="0.2">
      <c r="A166" s="212" t="s">
        <v>67</v>
      </c>
      <c r="B166" s="250" t="s">
        <v>10</v>
      </c>
      <c r="C166" s="268">
        <v>12</v>
      </c>
      <c r="D166" s="252">
        <f>+D151</f>
        <v>60</v>
      </c>
      <c r="E166" s="249">
        <f t="shared" si="3"/>
        <v>5</v>
      </c>
      <c r="G166" s="7"/>
    </row>
    <row r="167" spans="1:7" x14ac:dyDescent="0.2">
      <c r="A167" s="212" t="s">
        <v>62</v>
      </c>
      <c r="B167" s="250" t="s">
        <v>49</v>
      </c>
      <c r="C167" s="268">
        <v>1</v>
      </c>
      <c r="D167" s="252">
        <f>+D154</f>
        <v>20</v>
      </c>
      <c r="E167" s="249">
        <f t="shared" si="3"/>
        <v>20</v>
      </c>
      <c r="G167" s="7"/>
    </row>
    <row r="168" spans="1:7" x14ac:dyDescent="0.2">
      <c r="A168" s="212" t="s">
        <v>201</v>
      </c>
      <c r="B168" s="250" t="s">
        <v>127</v>
      </c>
      <c r="C168" s="272">
        <v>1</v>
      </c>
      <c r="D168" s="248">
        <v>100</v>
      </c>
      <c r="E168" s="252">
        <f t="shared" ref="E168:E169" si="4">C168*D168</f>
        <v>100</v>
      </c>
      <c r="G168" s="7"/>
    </row>
    <row r="169" spans="1:7" ht="13.5" thickBot="1" x14ac:dyDescent="0.25">
      <c r="A169" s="212" t="s">
        <v>5</v>
      </c>
      <c r="B169" s="250" t="s">
        <v>6</v>
      </c>
      <c r="C169" s="273">
        <f>E38+E39</f>
        <v>1</v>
      </c>
      <c r="D169" s="252">
        <f>+SUM(E162:E168)</f>
        <v>177.5</v>
      </c>
      <c r="E169" s="252">
        <f t="shared" si="4"/>
        <v>177.5</v>
      </c>
      <c r="G169" s="7"/>
    </row>
    <row r="170" spans="1:7" ht="13.5" thickBot="1" x14ac:dyDescent="0.25">
      <c r="D170" s="256" t="s">
        <v>198</v>
      </c>
      <c r="E170" s="257">
        <f>$B$46</f>
        <v>1</v>
      </c>
      <c r="F170" s="53">
        <f>E169*E170</f>
        <v>177.5</v>
      </c>
      <c r="G170" s="7"/>
    </row>
    <row r="171" spans="1:7" ht="11.25" customHeight="1" thickBot="1" x14ac:dyDescent="0.25">
      <c r="G171" s="7"/>
    </row>
    <row r="172" spans="1:7" ht="13.5" thickBot="1" x14ac:dyDescent="0.25">
      <c r="A172" s="14" t="s">
        <v>203</v>
      </c>
      <c r="B172" s="274"/>
      <c r="C172" s="274"/>
      <c r="D172" s="275"/>
      <c r="E172" s="276"/>
      <c r="F172" s="11">
        <f>+F157+F170</f>
        <v>824.16666666666674</v>
      </c>
      <c r="G172" s="7"/>
    </row>
    <row r="173" spans="1:7" ht="11.25" customHeight="1" x14ac:dyDescent="0.2">
      <c r="G173" s="7"/>
    </row>
    <row r="174" spans="1:7" x14ac:dyDescent="0.2">
      <c r="A174" s="9" t="s">
        <v>54</v>
      </c>
      <c r="G174" s="7"/>
    </row>
    <row r="175" spans="1:7" ht="11.25" customHeight="1" x14ac:dyDescent="0.2">
      <c r="B175" s="277"/>
      <c r="G175" s="7"/>
    </row>
    <row r="176" spans="1:7" x14ac:dyDescent="0.2">
      <c r="A176" s="5" t="s">
        <v>304</v>
      </c>
      <c r="G176" s="7"/>
    </row>
    <row r="177" spans="1:10" ht="11.25" customHeight="1" x14ac:dyDescent="0.2">
      <c r="G177" s="7"/>
    </row>
    <row r="178" spans="1:10" ht="13.5" thickBot="1" x14ac:dyDescent="0.25">
      <c r="A178" s="277" t="s">
        <v>46</v>
      </c>
      <c r="G178" s="7"/>
    </row>
    <row r="179" spans="1:10" ht="13.5" thickBot="1" x14ac:dyDescent="0.25">
      <c r="A179" s="243" t="s">
        <v>63</v>
      </c>
      <c r="B179" s="244" t="s">
        <v>64</v>
      </c>
      <c r="C179" s="244" t="s">
        <v>40</v>
      </c>
      <c r="D179" s="245" t="s">
        <v>236</v>
      </c>
      <c r="E179" s="245" t="s">
        <v>65</v>
      </c>
      <c r="F179" s="246" t="s">
        <v>303</v>
      </c>
      <c r="G179" s="7"/>
    </row>
    <row r="180" spans="1:10" x14ac:dyDescent="0.2">
      <c r="A180" s="206" t="s">
        <v>109</v>
      </c>
      <c r="B180" s="247" t="s">
        <v>10</v>
      </c>
      <c r="C180" s="278">
        <v>1</v>
      </c>
      <c r="D180" s="248">
        <v>300000</v>
      </c>
      <c r="E180" s="249">
        <f>C180*D180</f>
        <v>300000</v>
      </c>
      <c r="G180" s="7"/>
    </row>
    <row r="181" spans="1:10" x14ac:dyDescent="0.2">
      <c r="A181" s="212" t="s">
        <v>105</v>
      </c>
      <c r="B181" s="250" t="s">
        <v>106</v>
      </c>
      <c r="C181" s="255">
        <v>10</v>
      </c>
      <c r="D181" s="253"/>
      <c r="E181" s="252"/>
      <c r="G181" s="7"/>
    </row>
    <row r="182" spans="1:10" x14ac:dyDescent="0.2">
      <c r="A182" s="212" t="s">
        <v>209</v>
      </c>
      <c r="B182" s="250" t="s">
        <v>106</v>
      </c>
      <c r="C182" s="255">
        <v>0</v>
      </c>
      <c r="D182" s="252"/>
      <c r="E182" s="252"/>
      <c r="F182" s="279"/>
      <c r="I182" s="39"/>
      <c r="J182" s="39"/>
    </row>
    <row r="183" spans="1:10" x14ac:dyDescent="0.2">
      <c r="A183" s="212" t="s">
        <v>108</v>
      </c>
      <c r="B183" s="250" t="s">
        <v>2</v>
      </c>
      <c r="C183" s="254">
        <f>IFERROR(VLOOKUP(C181,'5. Depreciação'!A3:B17,2,FALSE),0)</f>
        <v>65.180000000000007</v>
      </c>
      <c r="D183" s="252">
        <f>E180</f>
        <v>300000</v>
      </c>
      <c r="E183" s="252">
        <f>C183*D183/100</f>
        <v>195540.00000000003</v>
      </c>
    </row>
    <row r="184" spans="1:10" ht="13.5" thickBot="1" x14ac:dyDescent="0.25">
      <c r="A184" s="179" t="s">
        <v>50</v>
      </c>
      <c r="B184" s="180" t="s">
        <v>8</v>
      </c>
      <c r="C184" s="180">
        <f>C181*12</f>
        <v>120</v>
      </c>
      <c r="D184" s="181">
        <f>IF(C182&lt;=C181,E183,0)</f>
        <v>195540.00000000003</v>
      </c>
      <c r="E184" s="181">
        <f>IFERROR(D184/C184,0)</f>
        <v>1629.5000000000002</v>
      </c>
    </row>
    <row r="185" spans="1:10" ht="13.5" thickTop="1" x14ac:dyDescent="0.2">
      <c r="A185" s="206" t="s">
        <v>298</v>
      </c>
      <c r="B185" s="247" t="s">
        <v>10</v>
      </c>
      <c r="C185" s="247">
        <f>C180</f>
        <v>1</v>
      </c>
      <c r="D185" s="248">
        <v>200000</v>
      </c>
      <c r="E185" s="249">
        <f>C185*D185</f>
        <v>200000</v>
      </c>
      <c r="G185" s="7"/>
    </row>
    <row r="186" spans="1:10" x14ac:dyDescent="0.2">
      <c r="A186" s="212" t="s">
        <v>299</v>
      </c>
      <c r="B186" s="250" t="s">
        <v>106</v>
      </c>
      <c r="C186" s="255">
        <v>15</v>
      </c>
      <c r="D186" s="252"/>
      <c r="E186" s="252"/>
    </row>
    <row r="187" spans="1:10" x14ac:dyDescent="0.2">
      <c r="A187" s="212" t="s">
        <v>300</v>
      </c>
      <c r="B187" s="250" t="s">
        <v>106</v>
      </c>
      <c r="C187" s="255">
        <v>0</v>
      </c>
      <c r="D187" s="252"/>
      <c r="E187" s="252"/>
      <c r="F187" s="279"/>
      <c r="I187" s="39"/>
      <c r="J187" s="39"/>
    </row>
    <row r="188" spans="1:10" x14ac:dyDescent="0.2">
      <c r="A188" s="212" t="s">
        <v>107</v>
      </c>
      <c r="B188" s="250" t="s">
        <v>2</v>
      </c>
      <c r="C188" s="280">
        <f>IFERROR(VLOOKUP(C186,'5. Depreciação'!A3:B17,2,FALSE),0)</f>
        <v>70.73</v>
      </c>
      <c r="D188" s="252">
        <f>E185</f>
        <v>200000</v>
      </c>
      <c r="E188" s="252">
        <f>C188*D188/100</f>
        <v>141460</v>
      </c>
    </row>
    <row r="189" spans="1:10" x14ac:dyDescent="0.2">
      <c r="A189" s="40" t="s">
        <v>110</v>
      </c>
      <c r="B189" s="41" t="s">
        <v>8</v>
      </c>
      <c r="C189" s="41">
        <f>C186*12</f>
        <v>180</v>
      </c>
      <c r="D189" s="42">
        <f>IF(C187&lt;=C186,E188,0)</f>
        <v>141460</v>
      </c>
      <c r="E189" s="42">
        <f>IFERROR(D189/C189,0)</f>
        <v>785.88888888888891</v>
      </c>
    </row>
    <row r="190" spans="1:10" x14ac:dyDescent="0.2">
      <c r="A190" s="48" t="s">
        <v>257</v>
      </c>
      <c r="B190" s="49"/>
      <c r="C190" s="49"/>
      <c r="D190" s="50"/>
      <c r="E190" s="51">
        <f>E184+E189</f>
        <v>2415.3888888888891</v>
      </c>
    </row>
    <row r="191" spans="1:10" ht="13.5" thickBot="1" x14ac:dyDescent="0.25">
      <c r="A191" s="40" t="s">
        <v>258</v>
      </c>
      <c r="B191" s="41" t="s">
        <v>10</v>
      </c>
      <c r="C191" s="255">
        <v>1</v>
      </c>
      <c r="D191" s="42">
        <f>E190</f>
        <v>2415.3888888888891</v>
      </c>
      <c r="E191" s="51">
        <f>C191*D191</f>
        <v>2415.3888888888891</v>
      </c>
    </row>
    <row r="192" spans="1:10" ht="13.5" thickBot="1" x14ac:dyDescent="0.25">
      <c r="A192" s="281"/>
      <c r="B192" s="281"/>
      <c r="C192" s="281"/>
      <c r="D192" s="256" t="s">
        <v>198</v>
      </c>
      <c r="E192" s="257">
        <f>$B$46</f>
        <v>1</v>
      </c>
      <c r="F192" s="11">
        <f>E191*E192</f>
        <v>2415.3888888888891</v>
      </c>
    </row>
    <row r="193" spans="1:10" ht="11.25" customHeight="1" x14ac:dyDescent="0.2"/>
    <row r="194" spans="1:10" ht="13.5" thickBot="1" x14ac:dyDescent="0.25">
      <c r="A194" s="277" t="s">
        <v>115</v>
      </c>
    </row>
    <row r="195" spans="1:10" ht="13.5" thickBot="1" x14ac:dyDescent="0.25">
      <c r="A195" s="282" t="s">
        <v>63</v>
      </c>
      <c r="B195" s="283" t="s">
        <v>64</v>
      </c>
      <c r="C195" s="283" t="s">
        <v>40</v>
      </c>
      <c r="D195" s="245" t="s">
        <v>236</v>
      </c>
      <c r="E195" s="284" t="s">
        <v>65</v>
      </c>
      <c r="F195" s="246" t="s">
        <v>303</v>
      </c>
      <c r="I195" s="39"/>
      <c r="J195" s="39"/>
    </row>
    <row r="196" spans="1:10" x14ac:dyDescent="0.2">
      <c r="A196" s="212" t="s">
        <v>113</v>
      </c>
      <c r="B196" s="250" t="s">
        <v>10</v>
      </c>
      <c r="C196" s="278">
        <v>1</v>
      </c>
      <c r="D196" s="252">
        <f>D180</f>
        <v>300000</v>
      </c>
      <c r="E196" s="252">
        <f>C196*D196</f>
        <v>300000</v>
      </c>
      <c r="F196" s="279"/>
      <c r="I196" s="39"/>
      <c r="J196" s="39"/>
    </row>
    <row r="197" spans="1:10" x14ac:dyDescent="0.2">
      <c r="A197" s="212" t="s">
        <v>212</v>
      </c>
      <c r="B197" s="250" t="s">
        <v>2</v>
      </c>
      <c r="C197" s="255">
        <v>2</v>
      </c>
      <c r="D197" s="252"/>
      <c r="E197" s="252"/>
      <c r="F197" s="279"/>
      <c r="I197" s="39"/>
      <c r="J197" s="39"/>
    </row>
    <row r="198" spans="1:10" x14ac:dyDescent="0.2">
      <c r="A198" s="212" t="s">
        <v>210</v>
      </c>
      <c r="B198" s="250" t="s">
        <v>33</v>
      </c>
      <c r="C198" s="285">
        <f>IFERROR(IF(C182&lt;=C181,E180-(C183/(100*C181)*C182)*E180,E180-E183),0)</f>
        <v>300000</v>
      </c>
      <c r="D198" s="252"/>
      <c r="E198" s="252"/>
      <c r="F198" s="279"/>
      <c r="I198" s="39"/>
      <c r="J198" s="39"/>
    </row>
    <row r="199" spans="1:10" x14ac:dyDescent="0.2">
      <c r="A199" s="212" t="s">
        <v>118</v>
      </c>
      <c r="B199" s="250" t="s">
        <v>33</v>
      </c>
      <c r="C199" s="253">
        <f>IFERROR(IF(C182&gt;=C181,C198,((((C198)-(E180-E183))*(((C181-C182)+1)/(2*(C181-C182))))+(E180-E183))),0)</f>
        <v>212007</v>
      </c>
      <c r="D199" s="252"/>
      <c r="E199" s="252"/>
      <c r="F199" s="279"/>
      <c r="I199" s="39"/>
      <c r="J199" s="39"/>
    </row>
    <row r="200" spans="1:10" ht="13.5" thickBot="1" x14ac:dyDescent="0.25">
      <c r="A200" s="179" t="s">
        <v>119</v>
      </c>
      <c r="B200" s="180" t="s">
        <v>33</v>
      </c>
      <c r="C200" s="180"/>
      <c r="D200" s="182">
        <f>C197*C199/12/100</f>
        <v>353.34500000000003</v>
      </c>
      <c r="E200" s="181">
        <f>D200</f>
        <v>353.34500000000003</v>
      </c>
      <c r="F200" s="279"/>
      <c r="I200" s="39"/>
      <c r="J200" s="39"/>
    </row>
    <row r="201" spans="1:10" ht="13.5" thickTop="1" x14ac:dyDescent="0.2">
      <c r="A201" s="206" t="s">
        <v>114</v>
      </c>
      <c r="B201" s="247" t="s">
        <v>10</v>
      </c>
      <c r="C201" s="247">
        <f>C185</f>
        <v>1</v>
      </c>
      <c r="D201" s="249">
        <v>200000</v>
      </c>
      <c r="E201" s="249">
        <f>C201*D201</f>
        <v>200000</v>
      </c>
      <c r="F201" s="279"/>
      <c r="I201" s="39"/>
      <c r="J201" s="39"/>
    </row>
    <row r="202" spans="1:10" x14ac:dyDescent="0.2">
      <c r="A202" s="212" t="s">
        <v>212</v>
      </c>
      <c r="B202" s="250" t="s">
        <v>2</v>
      </c>
      <c r="C202" s="286">
        <f>C197</f>
        <v>2</v>
      </c>
      <c r="D202" s="252"/>
      <c r="E202" s="252"/>
      <c r="F202" s="279"/>
      <c r="I202" s="39"/>
      <c r="J202" s="39"/>
    </row>
    <row r="203" spans="1:10" x14ac:dyDescent="0.2">
      <c r="A203" s="212" t="s">
        <v>211</v>
      </c>
      <c r="B203" s="250" t="s">
        <v>33</v>
      </c>
      <c r="C203" s="285">
        <f>IFERROR(IF(C187&lt;=C186,E185-(C188/(100*C186)*C187)*E185,E185-E188),0)</f>
        <v>200000</v>
      </c>
      <c r="D203" s="252"/>
      <c r="E203" s="252"/>
      <c r="F203" s="279"/>
      <c r="I203" s="39"/>
      <c r="J203" s="39"/>
    </row>
    <row r="204" spans="1:10" x14ac:dyDescent="0.2">
      <c r="A204" s="212" t="s">
        <v>120</v>
      </c>
      <c r="B204" s="250" t="s">
        <v>33</v>
      </c>
      <c r="C204" s="253">
        <f>IFERROR(IF(C187&gt;=C186,C203,((((C203)-(E185-E188))*(((C186-C187)+1)/(2*(C186-C187))))+(E185-E188))),0)</f>
        <v>133985.33333333331</v>
      </c>
      <c r="D204" s="252"/>
      <c r="E204" s="252"/>
      <c r="F204" s="279"/>
      <c r="I204" s="39"/>
      <c r="J204" s="39"/>
    </row>
    <row r="205" spans="1:10" x14ac:dyDescent="0.2">
      <c r="A205" s="40" t="s">
        <v>117</v>
      </c>
      <c r="B205" s="41" t="s">
        <v>33</v>
      </c>
      <c r="C205" s="41"/>
      <c r="D205" s="45">
        <f>C202*C204/12/100</f>
        <v>223.30888888888887</v>
      </c>
      <c r="E205" s="42">
        <f>D205</f>
        <v>223.30888888888887</v>
      </c>
      <c r="F205" s="279"/>
      <c r="I205" s="39"/>
      <c r="J205" s="39"/>
    </row>
    <row r="206" spans="1:10" x14ac:dyDescent="0.2">
      <c r="A206" s="48" t="s">
        <v>257</v>
      </c>
      <c r="B206" s="49"/>
      <c r="C206" s="49"/>
      <c r="D206" s="50"/>
      <c r="E206" s="51">
        <f>E200+E205</f>
        <v>576.6538888888889</v>
      </c>
      <c r="F206" s="279"/>
      <c r="I206" s="39"/>
      <c r="J206" s="39"/>
    </row>
    <row r="207" spans="1:10" ht="13.5" thickBot="1" x14ac:dyDescent="0.25">
      <c r="A207" s="40" t="s">
        <v>258</v>
      </c>
      <c r="B207" s="41" t="s">
        <v>10</v>
      </c>
      <c r="C207" s="286">
        <f>C191</f>
        <v>1</v>
      </c>
      <c r="D207" s="42">
        <f>E206</f>
        <v>576.6538888888889</v>
      </c>
      <c r="E207" s="51">
        <f>C207*D207</f>
        <v>576.6538888888889</v>
      </c>
      <c r="F207" s="279"/>
      <c r="I207" s="39"/>
      <c r="J207" s="39"/>
    </row>
    <row r="208" spans="1:10" ht="13.5" thickBot="1" x14ac:dyDescent="0.25">
      <c r="C208" s="287"/>
      <c r="D208" s="256" t="s">
        <v>198</v>
      </c>
      <c r="E208" s="257">
        <f>$B$46</f>
        <v>1</v>
      </c>
      <c r="F208" s="11">
        <f>E207*E208</f>
        <v>576.6538888888889</v>
      </c>
      <c r="I208" s="39"/>
      <c r="J208" s="39"/>
    </row>
    <row r="209" spans="1:10" ht="11.25" customHeight="1" x14ac:dyDescent="0.2">
      <c r="I209" s="39"/>
      <c r="J209" s="39"/>
    </row>
    <row r="210" spans="1:10" ht="13.5" thickBot="1" x14ac:dyDescent="0.25">
      <c r="A210" s="5" t="s">
        <v>51</v>
      </c>
      <c r="I210" s="39"/>
      <c r="J210" s="39"/>
    </row>
    <row r="211" spans="1:10" ht="13.5" thickBot="1" x14ac:dyDescent="0.25">
      <c r="A211" s="243" t="s">
        <v>63</v>
      </c>
      <c r="B211" s="244" t="s">
        <v>64</v>
      </c>
      <c r="C211" s="244" t="s">
        <v>40</v>
      </c>
      <c r="D211" s="245" t="s">
        <v>236</v>
      </c>
      <c r="E211" s="245" t="s">
        <v>65</v>
      </c>
      <c r="F211" s="246" t="s">
        <v>303</v>
      </c>
      <c r="I211" s="39"/>
      <c r="J211" s="39"/>
    </row>
    <row r="212" spans="1:10" x14ac:dyDescent="0.2">
      <c r="A212" s="206" t="s">
        <v>12</v>
      </c>
      <c r="B212" s="247" t="s">
        <v>10</v>
      </c>
      <c r="C212" s="249">
        <f>C191</f>
        <v>1</v>
      </c>
      <c r="D212" s="249">
        <f>0.01*($E$180)</f>
        <v>3000</v>
      </c>
      <c r="E212" s="249">
        <f>C212*D212</f>
        <v>3000</v>
      </c>
      <c r="I212" s="39"/>
      <c r="J212" s="39"/>
    </row>
    <row r="213" spans="1:10" x14ac:dyDescent="0.2">
      <c r="A213" s="212" t="s">
        <v>197</v>
      </c>
      <c r="B213" s="250" t="s">
        <v>10</v>
      </c>
      <c r="C213" s="249">
        <f>C191</f>
        <v>1</v>
      </c>
      <c r="D213" s="288">
        <v>120</v>
      </c>
      <c r="E213" s="252">
        <f>C213*D213</f>
        <v>120</v>
      </c>
      <c r="I213" s="39"/>
      <c r="J213" s="39"/>
    </row>
    <row r="214" spans="1:10" x14ac:dyDescent="0.2">
      <c r="A214" s="212" t="s">
        <v>13</v>
      </c>
      <c r="B214" s="250" t="s">
        <v>10</v>
      </c>
      <c r="C214" s="249">
        <f>C191</f>
        <v>1</v>
      </c>
      <c r="D214" s="288">
        <v>3000</v>
      </c>
      <c r="E214" s="252">
        <f>C214*D214</f>
        <v>3000</v>
      </c>
      <c r="F214" s="18"/>
      <c r="I214" s="39"/>
      <c r="J214" s="39"/>
    </row>
    <row r="215" spans="1:10" ht="13.5" thickBot="1" x14ac:dyDescent="0.25">
      <c r="A215" s="40" t="s">
        <v>14</v>
      </c>
      <c r="B215" s="41" t="s">
        <v>8</v>
      </c>
      <c r="C215" s="41">
        <v>12</v>
      </c>
      <c r="D215" s="42">
        <f>SUM(E212:E214)</f>
        <v>6120</v>
      </c>
      <c r="E215" s="42">
        <f>D215/C215</f>
        <v>510</v>
      </c>
      <c r="I215" s="39"/>
      <c r="J215" s="39"/>
    </row>
    <row r="216" spans="1:10" ht="13.5" thickBot="1" x14ac:dyDescent="0.25">
      <c r="D216" s="256" t="s">
        <v>198</v>
      </c>
      <c r="E216" s="257">
        <f>$B$46</f>
        <v>1</v>
      </c>
      <c r="F216" s="53">
        <f>E215*E216</f>
        <v>510</v>
      </c>
      <c r="I216" s="39"/>
      <c r="J216" s="39"/>
    </row>
    <row r="217" spans="1:10" ht="11.25" customHeight="1" x14ac:dyDescent="0.2">
      <c r="I217" s="39"/>
      <c r="J217" s="39"/>
    </row>
    <row r="218" spans="1:10" x14ac:dyDescent="0.2">
      <c r="A218" s="5" t="s">
        <v>52</v>
      </c>
      <c r="B218" s="289"/>
      <c r="I218" s="39"/>
      <c r="J218" s="39"/>
    </row>
    <row r="219" spans="1:10" x14ac:dyDescent="0.2">
      <c r="B219" s="289"/>
      <c r="I219" s="39"/>
      <c r="J219" s="39"/>
    </row>
    <row r="220" spans="1:10" x14ac:dyDescent="0.2">
      <c r="A220" s="40" t="s">
        <v>122</v>
      </c>
      <c r="B220" s="290">
        <v>1500</v>
      </c>
      <c r="I220" s="39"/>
      <c r="J220" s="39"/>
    </row>
    <row r="221" spans="1:10" ht="13.5" thickBot="1" x14ac:dyDescent="0.25">
      <c r="B221" s="289"/>
      <c r="I221" s="39"/>
      <c r="J221" s="39"/>
    </row>
    <row r="222" spans="1:10" ht="13.5" thickBot="1" x14ac:dyDescent="0.25">
      <c r="A222" s="243" t="s">
        <v>63</v>
      </c>
      <c r="B222" s="244" t="s">
        <v>64</v>
      </c>
      <c r="C222" s="244" t="s">
        <v>256</v>
      </c>
      <c r="D222" s="245" t="s">
        <v>236</v>
      </c>
      <c r="E222" s="245" t="s">
        <v>65</v>
      </c>
      <c r="F222" s="246" t="s">
        <v>303</v>
      </c>
      <c r="I222" s="39"/>
      <c r="J222" s="39"/>
    </row>
    <row r="223" spans="1:10" x14ac:dyDescent="0.2">
      <c r="A223" s="206" t="s">
        <v>15</v>
      </c>
      <c r="B223" s="247" t="s">
        <v>16</v>
      </c>
      <c r="C223" s="291">
        <v>2</v>
      </c>
      <c r="D223" s="292">
        <v>5.5490000000000004</v>
      </c>
      <c r="E223" s="249"/>
      <c r="I223" s="39"/>
      <c r="J223" s="39"/>
    </row>
    <row r="224" spans="1:10" x14ac:dyDescent="0.2">
      <c r="A224" s="212" t="s">
        <v>17</v>
      </c>
      <c r="B224" s="250" t="s">
        <v>18</v>
      </c>
      <c r="C224" s="261">
        <f>B220</f>
        <v>1500</v>
      </c>
      <c r="D224" s="293">
        <f>IFERROR(+D223/C223,"-")</f>
        <v>2.7745000000000002</v>
      </c>
      <c r="E224" s="252">
        <f>IFERROR(C224*D224,"-")</f>
        <v>4161.75</v>
      </c>
      <c r="I224" s="39"/>
      <c r="J224" s="39"/>
    </row>
    <row r="225" spans="1:10" x14ac:dyDescent="0.2">
      <c r="A225" s="212" t="s">
        <v>237</v>
      </c>
      <c r="B225" s="250" t="s">
        <v>19</v>
      </c>
      <c r="C225" s="294">
        <v>6</v>
      </c>
      <c r="D225" s="288">
        <v>18</v>
      </c>
      <c r="E225" s="252"/>
      <c r="G225" s="44"/>
      <c r="H225" s="30"/>
      <c r="I225" s="39"/>
      <c r="J225" s="39"/>
    </row>
    <row r="226" spans="1:10" x14ac:dyDescent="0.2">
      <c r="A226" s="212" t="s">
        <v>20</v>
      </c>
      <c r="B226" s="250" t="s">
        <v>18</v>
      </c>
      <c r="C226" s="261">
        <f>C224</f>
        <v>1500</v>
      </c>
      <c r="D226" s="295">
        <f>+C225*D225/1000</f>
        <v>0.108</v>
      </c>
      <c r="E226" s="252">
        <f>C226*D226</f>
        <v>162</v>
      </c>
      <c r="G226" s="44"/>
      <c r="H226" s="30"/>
      <c r="I226" s="39"/>
      <c r="J226" s="39"/>
    </row>
    <row r="227" spans="1:10" x14ac:dyDescent="0.2">
      <c r="A227" s="212" t="s">
        <v>238</v>
      </c>
      <c r="B227" s="250" t="s">
        <v>19</v>
      </c>
      <c r="C227" s="294">
        <v>1</v>
      </c>
      <c r="D227" s="288">
        <v>23.9</v>
      </c>
      <c r="E227" s="252"/>
      <c r="G227" s="44"/>
      <c r="H227" s="30"/>
      <c r="I227" s="39"/>
      <c r="J227" s="39"/>
    </row>
    <row r="228" spans="1:10" x14ac:dyDescent="0.2">
      <c r="A228" s="212" t="s">
        <v>21</v>
      </c>
      <c r="B228" s="250" t="s">
        <v>18</v>
      </c>
      <c r="C228" s="261">
        <f>C224</f>
        <v>1500</v>
      </c>
      <c r="D228" s="295">
        <f>+C227*D227/1000</f>
        <v>2.3899999999999998E-2</v>
      </c>
      <c r="E228" s="252">
        <f>C228*D228</f>
        <v>35.849999999999994</v>
      </c>
      <c r="G228" s="44"/>
      <c r="H228" s="30"/>
      <c r="I228" s="39"/>
      <c r="J228" s="39"/>
    </row>
    <row r="229" spans="1:10" x14ac:dyDescent="0.2">
      <c r="A229" s="212" t="s">
        <v>239</v>
      </c>
      <c r="B229" s="250" t="s">
        <v>19</v>
      </c>
      <c r="C229" s="294">
        <v>15</v>
      </c>
      <c r="D229" s="288">
        <v>15.9</v>
      </c>
      <c r="E229" s="252"/>
      <c r="G229" s="44"/>
      <c r="H229" s="30"/>
      <c r="I229" s="39"/>
      <c r="J229" s="39"/>
    </row>
    <row r="230" spans="1:10" x14ac:dyDescent="0.2">
      <c r="A230" s="212" t="s">
        <v>22</v>
      </c>
      <c r="B230" s="250" t="s">
        <v>18</v>
      </c>
      <c r="C230" s="261">
        <f>C224</f>
        <v>1500</v>
      </c>
      <c r="D230" s="295">
        <f>+C229*D229/1000</f>
        <v>0.23849999999999999</v>
      </c>
      <c r="E230" s="252">
        <f>C230*D230</f>
        <v>357.75</v>
      </c>
      <c r="G230" s="44"/>
      <c r="H230" s="30"/>
      <c r="I230" s="39"/>
      <c r="J230" s="39"/>
    </row>
    <row r="231" spans="1:10" x14ac:dyDescent="0.2">
      <c r="A231" s="212" t="s">
        <v>23</v>
      </c>
      <c r="B231" s="250" t="s">
        <v>24</v>
      </c>
      <c r="C231" s="294">
        <v>10</v>
      </c>
      <c r="D231" s="288">
        <v>12.5</v>
      </c>
      <c r="E231" s="252"/>
      <c r="G231" s="44"/>
      <c r="H231" s="30"/>
      <c r="I231" s="39"/>
      <c r="J231" s="39"/>
    </row>
    <row r="232" spans="1:10" x14ac:dyDescent="0.2">
      <c r="A232" s="212" t="s">
        <v>25</v>
      </c>
      <c r="B232" s="250" t="s">
        <v>18</v>
      </c>
      <c r="C232" s="261">
        <f>C224</f>
        <v>1500</v>
      </c>
      <c r="D232" s="295">
        <f>+C231*D231/1000</f>
        <v>0.125</v>
      </c>
      <c r="E232" s="252">
        <f>C232*D232</f>
        <v>187.5</v>
      </c>
      <c r="G232" s="44"/>
      <c r="H232" s="30"/>
      <c r="I232" s="39"/>
      <c r="J232" s="39"/>
    </row>
    <row r="233" spans="1:10" ht="13.5" thickBot="1" x14ac:dyDescent="0.25">
      <c r="A233" s="40" t="s">
        <v>255</v>
      </c>
      <c r="B233" s="41" t="s">
        <v>123</v>
      </c>
      <c r="C233" s="176"/>
      <c r="D233" s="177">
        <f>IFERROR(D224+D226+D228+D230+D232,0)</f>
        <v>3.2699000000000003</v>
      </c>
      <c r="E233" s="252"/>
      <c r="G233" s="44"/>
      <c r="H233" s="30"/>
      <c r="I233" s="39"/>
      <c r="J233" s="39"/>
    </row>
    <row r="234" spans="1:10" ht="13.5" thickBot="1" x14ac:dyDescent="0.25">
      <c r="F234" s="11">
        <f>SUM(E223:E232)</f>
        <v>4904.8500000000004</v>
      </c>
      <c r="I234" s="39"/>
      <c r="J234" s="39"/>
    </row>
    <row r="235" spans="1:10" ht="11.25" customHeight="1" x14ac:dyDescent="0.2">
      <c r="I235" s="39"/>
      <c r="J235" s="39"/>
    </row>
    <row r="236" spans="1:10" ht="13.5" thickBot="1" x14ac:dyDescent="0.25">
      <c r="A236" s="5" t="s">
        <v>53</v>
      </c>
      <c r="I236" s="39"/>
      <c r="J236" s="39"/>
    </row>
    <row r="237" spans="1:10" ht="13.5" thickBot="1" x14ac:dyDescent="0.25">
      <c r="A237" s="243" t="s">
        <v>63</v>
      </c>
      <c r="B237" s="244" t="s">
        <v>64</v>
      </c>
      <c r="C237" s="244" t="s">
        <v>40</v>
      </c>
      <c r="D237" s="245" t="s">
        <v>236</v>
      </c>
      <c r="E237" s="245" t="s">
        <v>65</v>
      </c>
      <c r="F237" s="246" t="s">
        <v>303</v>
      </c>
      <c r="I237" s="39"/>
      <c r="J237" s="39"/>
    </row>
    <row r="238" spans="1:10" ht="13.5" thickBot="1" x14ac:dyDescent="0.25">
      <c r="A238" s="206" t="s">
        <v>121</v>
      </c>
      <c r="B238" s="247" t="s">
        <v>123</v>
      </c>
      <c r="C238" s="261">
        <f>C224</f>
        <v>1500</v>
      </c>
      <c r="D238" s="248">
        <v>1.1299999999999999</v>
      </c>
      <c r="E238" s="249">
        <f>C238*D238</f>
        <v>1694.9999999999998</v>
      </c>
      <c r="I238" s="39"/>
      <c r="J238" s="39"/>
    </row>
    <row r="239" spans="1:10" ht="13.5" thickBot="1" x14ac:dyDescent="0.25">
      <c r="F239" s="11">
        <f>E238</f>
        <v>1694.9999999999998</v>
      </c>
      <c r="I239" s="39"/>
      <c r="J239" s="39"/>
    </row>
    <row r="240" spans="1:10" ht="11.25" customHeight="1" x14ac:dyDescent="0.2">
      <c r="I240" s="39"/>
      <c r="J240" s="39"/>
    </row>
    <row r="241" spans="1:10" ht="13.5" thickBot="1" x14ac:dyDescent="0.25">
      <c r="A241" s="5" t="s">
        <v>61</v>
      </c>
      <c r="I241" s="39"/>
      <c r="J241" s="39"/>
    </row>
    <row r="242" spans="1:10" ht="13.5" thickBot="1" x14ac:dyDescent="0.25">
      <c r="A242" s="243" t="s">
        <v>63</v>
      </c>
      <c r="B242" s="244" t="s">
        <v>64</v>
      </c>
      <c r="C242" s="244" t="s">
        <v>40</v>
      </c>
      <c r="D242" s="245" t="s">
        <v>236</v>
      </c>
      <c r="E242" s="245" t="s">
        <v>65</v>
      </c>
      <c r="F242" s="246" t="s">
        <v>303</v>
      </c>
      <c r="I242" s="39"/>
      <c r="J242" s="39"/>
    </row>
    <row r="243" spans="1:10" x14ac:dyDescent="0.2">
      <c r="A243" s="206" t="s">
        <v>302</v>
      </c>
      <c r="B243" s="247" t="s">
        <v>10</v>
      </c>
      <c r="C243" s="296">
        <v>6</v>
      </c>
      <c r="D243" s="248">
        <v>1799</v>
      </c>
      <c r="E243" s="249">
        <f>C243*D243</f>
        <v>10794</v>
      </c>
      <c r="I243" s="39"/>
      <c r="J243" s="39"/>
    </row>
    <row r="244" spans="1:10" x14ac:dyDescent="0.2">
      <c r="A244" s="206" t="s">
        <v>124</v>
      </c>
      <c r="B244" s="247" t="s">
        <v>10</v>
      </c>
      <c r="C244" s="296">
        <v>2</v>
      </c>
      <c r="D244" s="297"/>
      <c r="E244" s="249"/>
      <c r="I244" s="39"/>
      <c r="J244" s="39"/>
    </row>
    <row r="245" spans="1:10" x14ac:dyDescent="0.2">
      <c r="A245" s="206" t="s">
        <v>69</v>
      </c>
      <c r="B245" s="247" t="s">
        <v>10</v>
      </c>
      <c r="C245" s="249">
        <f>C243*C244</f>
        <v>12</v>
      </c>
      <c r="D245" s="248">
        <v>529</v>
      </c>
      <c r="E245" s="249">
        <f>C245*D245</f>
        <v>6348</v>
      </c>
      <c r="I245" s="39"/>
      <c r="J245" s="39"/>
    </row>
    <row r="246" spans="1:10" x14ac:dyDescent="0.2">
      <c r="A246" s="212" t="s">
        <v>96</v>
      </c>
      <c r="B246" s="250" t="s">
        <v>26</v>
      </c>
      <c r="C246" s="298">
        <v>50000</v>
      </c>
      <c r="D246" s="252">
        <f>E243+E245</f>
        <v>17142</v>
      </c>
      <c r="E246" s="252">
        <f>IFERROR(D246/C246,"-")</f>
        <v>0.34283999999999998</v>
      </c>
      <c r="I246" s="39"/>
      <c r="J246" s="39"/>
    </row>
    <row r="247" spans="1:10" ht="13.5" thickBot="1" x14ac:dyDescent="0.25">
      <c r="A247" s="212" t="s">
        <v>55</v>
      </c>
      <c r="B247" s="250" t="s">
        <v>18</v>
      </c>
      <c r="C247" s="261">
        <f>B220</f>
        <v>1500</v>
      </c>
      <c r="D247" s="252">
        <f>E246</f>
        <v>0.34283999999999998</v>
      </c>
      <c r="E247" s="252">
        <f>IFERROR(C247*D247,0)</f>
        <v>514.26</v>
      </c>
      <c r="I247" s="39"/>
      <c r="J247" s="39"/>
    </row>
    <row r="248" spans="1:10" ht="13.5" thickBot="1" x14ac:dyDescent="0.25">
      <c r="F248" s="11">
        <f>E247</f>
        <v>514.26</v>
      </c>
      <c r="I248" s="39"/>
      <c r="J248" s="39"/>
    </row>
    <row r="249" spans="1:10" ht="11.25" customHeight="1" x14ac:dyDescent="0.2">
      <c r="I249" s="39"/>
      <c r="J249" s="39"/>
    </row>
    <row r="250" spans="1:10" ht="11.25" customHeight="1" thickBot="1" x14ac:dyDescent="0.25">
      <c r="G250" s="7"/>
    </row>
    <row r="251" spans="1:10" ht="13.5" thickBot="1" x14ac:dyDescent="0.25">
      <c r="A251" s="14" t="s">
        <v>224</v>
      </c>
      <c r="B251" s="15"/>
      <c r="C251" s="15"/>
      <c r="D251" s="16"/>
      <c r="E251" s="17"/>
      <c r="F251" s="11">
        <f>+SUM(F180:F250)</f>
        <v>10616.152777777779</v>
      </c>
      <c r="G251" s="7"/>
    </row>
    <row r="252" spans="1:10" ht="11.25" customHeight="1" x14ac:dyDescent="0.2">
      <c r="G252" s="7"/>
    </row>
    <row r="253" spans="1:10" x14ac:dyDescent="0.2">
      <c r="A253" s="20" t="s">
        <v>73</v>
      </c>
      <c r="B253" s="20"/>
      <c r="C253" s="20"/>
      <c r="D253" s="21"/>
      <c r="E253" s="21"/>
      <c r="F253" s="19"/>
      <c r="G253" s="7"/>
    </row>
    <row r="254" spans="1:10" ht="11.25" customHeight="1" thickBot="1" x14ac:dyDescent="0.25">
      <c r="G254" s="7"/>
    </row>
    <row r="255" spans="1:10" ht="13.5" thickBot="1" x14ac:dyDescent="0.25">
      <c r="A255" s="243" t="s">
        <v>63</v>
      </c>
      <c r="B255" s="244" t="s">
        <v>64</v>
      </c>
      <c r="C255" s="244" t="s">
        <v>40</v>
      </c>
      <c r="D255" s="245" t="s">
        <v>236</v>
      </c>
      <c r="E255" s="245" t="s">
        <v>65</v>
      </c>
      <c r="F255" s="246" t="s">
        <v>303</v>
      </c>
      <c r="G255" s="7"/>
    </row>
    <row r="256" spans="1:10" x14ac:dyDescent="0.2">
      <c r="A256" s="212" t="s">
        <v>70</v>
      </c>
      <c r="B256" s="250" t="s">
        <v>10</v>
      </c>
      <c r="C256" s="268">
        <v>8.3333333333333329E-2</v>
      </c>
      <c r="D256" s="248">
        <v>27.9</v>
      </c>
      <c r="E256" s="252">
        <f>C256*D256</f>
        <v>2.3249999999999997</v>
      </c>
      <c r="F256" s="299"/>
      <c r="G256" s="7"/>
    </row>
    <row r="257" spans="1:7" x14ac:dyDescent="0.2">
      <c r="A257" s="212" t="s">
        <v>27</v>
      </c>
      <c r="B257" s="250" t="s">
        <v>10</v>
      </c>
      <c r="C257" s="268">
        <v>0.16666666666666666</v>
      </c>
      <c r="D257" s="248">
        <v>45</v>
      </c>
      <c r="E257" s="252">
        <f>C257*D257</f>
        <v>7.5</v>
      </c>
      <c r="F257" s="299"/>
      <c r="G257" s="7"/>
    </row>
    <row r="258" spans="1:7" x14ac:dyDescent="0.2">
      <c r="A258" s="212" t="s">
        <v>28</v>
      </c>
      <c r="B258" s="250" t="s">
        <v>10</v>
      </c>
      <c r="C258" s="268">
        <v>0.33333333333333331</v>
      </c>
      <c r="D258" s="248">
        <v>25</v>
      </c>
      <c r="E258" s="252">
        <f>C258*D258</f>
        <v>8.3333333333333321</v>
      </c>
      <c r="F258" s="299"/>
      <c r="G258" s="7"/>
    </row>
    <row r="259" spans="1:7" ht="13.5" thickBot="1" x14ac:dyDescent="0.25">
      <c r="A259" s="212" t="s">
        <v>59</v>
      </c>
      <c r="B259" s="250" t="s">
        <v>57</v>
      </c>
      <c r="C259" s="268">
        <v>8.3333333333333329E-2</v>
      </c>
      <c r="D259" s="248">
        <v>390</v>
      </c>
      <c r="E259" s="252">
        <f>C259*D259</f>
        <v>32.5</v>
      </c>
      <c r="F259" s="299"/>
      <c r="G259" s="7"/>
    </row>
    <row r="260" spans="1:7" ht="13.5" thickBot="1" x14ac:dyDescent="0.25">
      <c r="A260" s="20"/>
      <c r="B260" s="20"/>
      <c r="C260" s="20"/>
      <c r="D260" s="20"/>
      <c r="E260" s="21"/>
      <c r="F260" s="11">
        <f>SUM(E256:E259)</f>
        <v>50.658333333333331</v>
      </c>
      <c r="G260" s="7"/>
    </row>
    <row r="261" spans="1:7" ht="11.25" customHeight="1" thickBot="1" x14ac:dyDescent="0.25">
      <c r="G261" s="7"/>
    </row>
    <row r="262" spans="1:7" ht="13.5" thickBot="1" x14ac:dyDescent="0.25">
      <c r="A262" s="14" t="s">
        <v>225</v>
      </c>
      <c r="B262" s="15"/>
      <c r="C262" s="15"/>
      <c r="D262" s="16"/>
      <c r="E262" s="17"/>
      <c r="F262" s="11">
        <f>+F260</f>
        <v>50.658333333333331</v>
      </c>
      <c r="G262" s="7"/>
    </row>
    <row r="263" spans="1:7" ht="11.25" customHeight="1" x14ac:dyDescent="0.2">
      <c r="G263" s="7"/>
    </row>
    <row r="264" spans="1:7" x14ac:dyDescent="0.2">
      <c r="A264" s="20" t="s">
        <v>74</v>
      </c>
      <c r="B264" s="20"/>
      <c r="C264" s="20"/>
      <c r="D264" s="21"/>
      <c r="E264" s="21"/>
      <c r="F264" s="19"/>
    </row>
    <row r="265" spans="1:7" ht="11.25" customHeight="1" thickBot="1" x14ac:dyDescent="0.25"/>
    <row r="266" spans="1:7" ht="13.5" thickBot="1" x14ac:dyDescent="0.25">
      <c r="A266" s="243" t="s">
        <v>63</v>
      </c>
      <c r="B266" s="244" t="s">
        <v>64</v>
      </c>
      <c r="C266" s="244" t="s">
        <v>40</v>
      </c>
      <c r="D266" s="245" t="s">
        <v>236</v>
      </c>
      <c r="E266" s="245" t="s">
        <v>65</v>
      </c>
      <c r="F266" s="246" t="s">
        <v>303</v>
      </c>
    </row>
    <row r="267" spans="1:7" x14ac:dyDescent="0.2">
      <c r="A267" s="212" t="s">
        <v>222</v>
      </c>
      <c r="B267" s="250" t="s">
        <v>57</v>
      </c>
      <c r="C267" s="273">
        <f>C180</f>
        <v>1</v>
      </c>
      <c r="D267" s="288">
        <v>1200</v>
      </c>
      <c r="E267" s="252">
        <f>+D267*C267</f>
        <v>1200</v>
      </c>
      <c r="F267" s="299"/>
    </row>
    <row r="268" spans="1:7" x14ac:dyDescent="0.2">
      <c r="A268" s="212" t="s">
        <v>60</v>
      </c>
      <c r="B268" s="250" t="s">
        <v>8</v>
      </c>
      <c r="C268" s="300">
        <v>60</v>
      </c>
      <c r="D268" s="36">
        <f>SUM(E267:E267)</f>
        <v>1200</v>
      </c>
      <c r="E268" s="36">
        <f>+D268/C268</f>
        <v>20</v>
      </c>
      <c r="F268" s="299"/>
    </row>
    <row r="269" spans="1:7" x14ac:dyDescent="0.2">
      <c r="A269" s="212" t="s">
        <v>223</v>
      </c>
      <c r="B269" s="250" t="s">
        <v>10</v>
      </c>
      <c r="C269" s="273">
        <f>+C267</f>
        <v>1</v>
      </c>
      <c r="D269" s="288">
        <v>100</v>
      </c>
      <c r="E269" s="252">
        <f>C269*D269</f>
        <v>100</v>
      </c>
      <c r="F269" s="299"/>
    </row>
    <row r="270" spans="1:7" ht="13.5" thickBot="1" x14ac:dyDescent="0.25">
      <c r="A270" s="212" t="s">
        <v>37</v>
      </c>
      <c r="B270" s="250" t="s">
        <v>8</v>
      </c>
      <c r="C270" s="300">
        <v>1</v>
      </c>
      <c r="D270" s="36">
        <f>+E269</f>
        <v>100</v>
      </c>
      <c r="E270" s="36">
        <f>+D270/C270</f>
        <v>100</v>
      </c>
      <c r="F270" s="299"/>
    </row>
    <row r="271" spans="1:7" ht="13.5" thickBot="1" x14ac:dyDescent="0.25">
      <c r="A271" s="240"/>
      <c r="B271" s="240"/>
      <c r="C271" s="240"/>
      <c r="D271" s="256" t="s">
        <v>198</v>
      </c>
      <c r="E271" s="257">
        <f>$B$46</f>
        <v>1</v>
      </c>
      <c r="F271" s="37">
        <f>(E268+E270)*E271</f>
        <v>120</v>
      </c>
    </row>
    <row r="272" spans="1:7" s="29" customFormat="1" ht="11.25" customHeight="1" thickBot="1" x14ac:dyDescent="0.25">
      <c r="A272" s="5"/>
      <c r="B272" s="5"/>
      <c r="C272" s="5"/>
      <c r="D272" s="214"/>
      <c r="E272" s="214"/>
      <c r="F272" s="214"/>
      <c r="G272" s="38"/>
    </row>
    <row r="273" spans="1:6" ht="13.5" thickBot="1" x14ac:dyDescent="0.25">
      <c r="A273" s="14" t="s">
        <v>221</v>
      </c>
      <c r="B273" s="15"/>
      <c r="C273" s="15"/>
      <c r="D273" s="16"/>
      <c r="E273" s="17"/>
      <c r="F273" s="11">
        <f>+F271</f>
        <v>120</v>
      </c>
    </row>
    <row r="274" spans="1:6" ht="11.25" customHeight="1" thickBot="1" x14ac:dyDescent="0.25"/>
    <row r="275" spans="1:6" ht="17.25" customHeight="1" thickBot="1" x14ac:dyDescent="0.25">
      <c r="A275" s="14" t="s">
        <v>226</v>
      </c>
      <c r="B275" s="274"/>
      <c r="C275" s="274"/>
      <c r="D275" s="275"/>
      <c r="E275" s="276"/>
      <c r="F275" s="12">
        <f>+F138+F172+F251+F262+F273</f>
        <v>29859.640468647442</v>
      </c>
    </row>
    <row r="276" spans="1:6" ht="11.25" customHeight="1" x14ac:dyDescent="0.2"/>
    <row r="277" spans="1:6" x14ac:dyDescent="0.2">
      <c r="A277" s="9" t="s">
        <v>89</v>
      </c>
    </row>
    <row r="278" spans="1:6" ht="11.25" customHeight="1" thickBot="1" x14ac:dyDescent="0.25"/>
    <row r="279" spans="1:6" ht="13.5" thickBot="1" x14ac:dyDescent="0.25">
      <c r="A279" s="243" t="s">
        <v>63</v>
      </c>
      <c r="B279" s="244" t="s">
        <v>64</v>
      </c>
      <c r="C279" s="244" t="s">
        <v>40</v>
      </c>
      <c r="D279" s="245" t="s">
        <v>236</v>
      </c>
      <c r="E279" s="245" t="s">
        <v>65</v>
      </c>
      <c r="F279" s="246" t="s">
        <v>303</v>
      </c>
    </row>
    <row r="280" spans="1:6" ht="13.5" thickBot="1" x14ac:dyDescent="0.25">
      <c r="A280" s="206" t="s">
        <v>36</v>
      </c>
      <c r="B280" s="247" t="s">
        <v>2</v>
      </c>
      <c r="C280" s="254">
        <f>'4.BDI'!C20*100</f>
        <v>27.700000000000003</v>
      </c>
      <c r="D280" s="249">
        <f>+F275</f>
        <v>29859.640468647442</v>
      </c>
      <c r="E280" s="249">
        <f>C280*D280/100</f>
        <v>8271.1204098153412</v>
      </c>
    </row>
    <row r="281" spans="1:6" ht="13.5" thickBot="1" x14ac:dyDescent="0.25">
      <c r="F281" s="11">
        <f>+E280</f>
        <v>8271.1204098153412</v>
      </c>
    </row>
    <row r="282" spans="1:6" ht="11.25" customHeight="1" thickBot="1" x14ac:dyDescent="0.25"/>
    <row r="283" spans="1:6" ht="13.5" thickBot="1" x14ac:dyDescent="0.25">
      <c r="A283" s="14" t="s">
        <v>241</v>
      </c>
      <c r="B283" s="274"/>
      <c r="C283" s="274"/>
      <c r="D283" s="275"/>
      <c r="E283" s="276"/>
      <c r="F283" s="12">
        <f>F281</f>
        <v>8271.1204098153412</v>
      </c>
    </row>
    <row r="284" spans="1:6" x14ac:dyDescent="0.2">
      <c r="A284" s="20"/>
      <c r="B284" s="20"/>
      <c r="C284" s="20"/>
      <c r="D284" s="21"/>
      <c r="E284" s="21"/>
      <c r="F284" s="19"/>
    </row>
    <row r="285" spans="1:6" ht="11.25" customHeight="1" thickBot="1" x14ac:dyDescent="0.25"/>
    <row r="286" spans="1:6" ht="24.75" customHeight="1" thickBot="1" x14ac:dyDescent="0.25">
      <c r="A286" s="14" t="s">
        <v>227</v>
      </c>
      <c r="B286" s="274"/>
      <c r="C286" s="274"/>
      <c r="D286" s="275"/>
      <c r="E286" s="276"/>
      <c r="F286" s="12">
        <f>F275+F283</f>
        <v>38130.760878462781</v>
      </c>
    </row>
    <row r="287" spans="1:6" ht="12.6" customHeight="1" x14ac:dyDescent="0.2">
      <c r="A287" s="20"/>
      <c r="B287" s="20"/>
      <c r="C287" s="20"/>
      <c r="D287" s="21"/>
      <c r="E287" s="21"/>
      <c r="F287" s="21"/>
    </row>
    <row r="290" spans="1:7" ht="12.6" customHeight="1" x14ac:dyDescent="0.2">
      <c r="A290" s="20"/>
      <c r="B290" s="20"/>
      <c r="C290" s="20"/>
      <c r="D290" s="21"/>
      <c r="E290" s="21"/>
      <c r="F290" s="21"/>
    </row>
    <row r="291" spans="1:7" s="2" customFormat="1" ht="9.75" customHeight="1" x14ac:dyDescent="0.2">
      <c r="A291" s="27"/>
      <c r="B291" s="214"/>
      <c r="C291" s="214"/>
      <c r="D291" s="214"/>
      <c r="E291" s="214"/>
      <c r="F291" s="214"/>
      <c r="G291" s="4"/>
    </row>
    <row r="292" spans="1:7" s="2" customFormat="1" ht="9.75" customHeight="1" x14ac:dyDescent="0.2">
      <c r="A292" s="27"/>
      <c r="B292" s="214"/>
      <c r="C292" s="214"/>
      <c r="D292" s="214"/>
      <c r="E292" s="214"/>
      <c r="F292" s="214"/>
      <c r="G292" s="4"/>
    </row>
    <row r="293" spans="1:7" s="2" customFormat="1" ht="9.75" customHeight="1" x14ac:dyDescent="0.2">
      <c r="A293" s="27"/>
      <c r="B293" s="214"/>
      <c r="C293" s="214"/>
      <c r="D293" s="214"/>
      <c r="E293" s="214"/>
      <c r="F293" s="214"/>
      <c r="G293" s="4"/>
    </row>
    <row r="323" spans="4:7" ht="9" customHeight="1" x14ac:dyDescent="0.2">
      <c r="D323" s="5"/>
      <c r="E323" s="5"/>
      <c r="F323" s="5"/>
      <c r="G323" s="7"/>
    </row>
  </sheetData>
  <mergeCells count="8">
    <mergeCell ref="A2:F3"/>
    <mergeCell ref="A42:D42"/>
    <mergeCell ref="A19:C19"/>
    <mergeCell ref="A6:F6"/>
    <mergeCell ref="A7:F7"/>
    <mergeCell ref="A35:D35"/>
    <mergeCell ref="A9:F9"/>
    <mergeCell ref="A34:E34"/>
  </mergeCells>
  <phoneticPr fontId="9" type="noConversion"/>
  <hyperlinks>
    <hyperlink ref="A194" location="AbaRemun" display="3.1.2. Remuneração do Capital"/>
    <hyperlink ref="A178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horizontalDpi="4294967295" verticalDpi="4294967295" r:id="rId1"/>
  <headerFooter alignWithMargins="0">
    <oddFooter>&amp;R&amp;P de &amp;N</oddFooter>
  </headerFooter>
  <rowBreaks count="4" manualBreakCount="4">
    <brk id="47" max="5" man="1"/>
    <brk id="117" max="5" man="1"/>
    <brk id="173" max="5" man="1"/>
    <brk id="240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sqref="A1:E5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71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9"/>
    </row>
    <row r="2" spans="1:12" x14ac:dyDescent="0.2">
      <c r="A2" s="62"/>
    </row>
    <row r="3" spans="1:12" s="2" customFormat="1" ht="15.6" customHeight="1" x14ac:dyDescent="0.2">
      <c r="B3" s="61"/>
      <c r="C3" s="61"/>
      <c r="D3" s="61"/>
      <c r="E3" s="61"/>
      <c r="F3" s="61"/>
      <c r="G3" s="4"/>
    </row>
    <row r="4" spans="1:12" s="2" customFormat="1" ht="15.6" customHeight="1" x14ac:dyDescent="0.2">
      <c r="A4" s="203"/>
      <c r="B4" s="61"/>
      <c r="C4" s="61"/>
      <c r="D4" s="61"/>
      <c r="E4" s="61"/>
      <c r="F4" s="61"/>
      <c r="G4" s="4"/>
    </row>
    <row r="5" spans="1:12" s="2" customFormat="1" ht="16.5" customHeight="1" x14ac:dyDescent="0.2">
      <c r="A5" s="203"/>
      <c r="B5" s="3"/>
      <c r="C5" s="3"/>
      <c r="D5" s="4"/>
      <c r="E5" s="4"/>
      <c r="F5" s="4"/>
      <c r="G5" s="4"/>
    </row>
    <row r="6" spans="1:12" ht="13.5" thickBot="1" x14ac:dyDescent="0.25"/>
    <row r="7" spans="1:12" ht="18" x14ac:dyDescent="0.2">
      <c r="A7" s="318" t="s">
        <v>230</v>
      </c>
      <c r="B7" s="319"/>
      <c r="C7" s="320"/>
      <c r="D7" s="68"/>
      <c r="E7" s="68"/>
      <c r="F7" s="68"/>
    </row>
    <row r="8" spans="1:12" ht="14.25" x14ac:dyDescent="0.2">
      <c r="A8" s="82" t="s">
        <v>144</v>
      </c>
      <c r="B8" s="83" t="s">
        <v>145</v>
      </c>
      <c r="C8" s="84" t="s">
        <v>146</v>
      </c>
      <c r="D8" s="85"/>
    </row>
    <row r="9" spans="1:12" ht="14.25" x14ac:dyDescent="0.2">
      <c r="A9" s="82" t="s">
        <v>147</v>
      </c>
      <c r="B9" s="83" t="s">
        <v>41</v>
      </c>
      <c r="C9" s="86">
        <v>0.2</v>
      </c>
      <c r="D9" s="85"/>
      <c r="F9" s="71"/>
      <c r="G9" s="71"/>
      <c r="H9" s="71"/>
      <c r="I9" s="71"/>
      <c r="J9" s="71"/>
      <c r="K9" s="71"/>
      <c r="L9" s="71"/>
    </row>
    <row r="10" spans="1:12" ht="14.25" x14ac:dyDescent="0.2">
      <c r="A10" s="82" t="s">
        <v>148</v>
      </c>
      <c r="B10" s="83" t="s">
        <v>149</v>
      </c>
      <c r="C10" s="86">
        <v>1.4999999999999999E-2</v>
      </c>
      <c r="D10" s="85"/>
      <c r="F10" s="71"/>
      <c r="G10" s="71"/>
      <c r="H10" s="71"/>
      <c r="I10" s="71"/>
      <c r="J10" s="71"/>
      <c r="K10" s="71"/>
      <c r="L10" s="71"/>
    </row>
    <row r="11" spans="1:12" ht="14.25" x14ac:dyDescent="0.2">
      <c r="A11" s="82" t="s">
        <v>150</v>
      </c>
      <c r="B11" s="83" t="s">
        <v>151</v>
      </c>
      <c r="C11" s="86">
        <v>0.01</v>
      </c>
      <c r="D11" s="85"/>
      <c r="F11" s="71"/>
      <c r="G11" s="71"/>
      <c r="H11" s="71"/>
      <c r="I11" s="71"/>
      <c r="J11" s="71"/>
      <c r="K11" s="71"/>
      <c r="L11" s="71"/>
    </row>
    <row r="12" spans="1:12" ht="14.25" x14ac:dyDescent="0.2">
      <c r="A12" s="82" t="s">
        <v>152</v>
      </c>
      <c r="B12" s="83" t="s">
        <v>153</v>
      </c>
      <c r="C12" s="86">
        <v>2E-3</v>
      </c>
      <c r="D12" s="85"/>
      <c r="F12" s="71"/>
      <c r="G12" s="71"/>
      <c r="H12" s="71"/>
      <c r="I12" s="71"/>
      <c r="J12" s="71"/>
      <c r="K12" s="71"/>
      <c r="L12" s="71"/>
    </row>
    <row r="13" spans="1:12" ht="14.25" x14ac:dyDescent="0.2">
      <c r="A13" s="82" t="s">
        <v>154</v>
      </c>
      <c r="B13" s="83" t="s">
        <v>155</v>
      </c>
      <c r="C13" s="86">
        <v>6.0000000000000001E-3</v>
      </c>
      <c r="D13" s="85"/>
      <c r="F13" s="71"/>
      <c r="G13" s="71"/>
      <c r="H13" s="71"/>
      <c r="I13" s="71"/>
      <c r="J13" s="71"/>
      <c r="K13" s="71"/>
      <c r="L13" s="71"/>
    </row>
    <row r="14" spans="1:12" ht="14.25" x14ac:dyDescent="0.2">
      <c r="A14" s="82" t="s">
        <v>156</v>
      </c>
      <c r="B14" s="83" t="s">
        <v>157</v>
      </c>
      <c r="C14" s="86">
        <v>2.5000000000000001E-2</v>
      </c>
      <c r="D14" s="85"/>
      <c r="F14" s="71"/>
      <c r="G14" s="71"/>
      <c r="H14" s="71"/>
      <c r="I14" s="71"/>
      <c r="J14" s="71"/>
      <c r="K14" s="71"/>
      <c r="L14" s="71"/>
    </row>
    <row r="15" spans="1:12" ht="14.25" x14ac:dyDescent="0.2">
      <c r="A15" s="82" t="s">
        <v>158</v>
      </c>
      <c r="B15" s="83" t="s">
        <v>159</v>
      </c>
      <c r="C15" s="86">
        <v>0.03</v>
      </c>
      <c r="D15" s="85"/>
      <c r="F15" s="71"/>
      <c r="G15" s="71"/>
      <c r="H15" s="71"/>
      <c r="I15" s="71"/>
      <c r="J15" s="71"/>
      <c r="K15" s="71"/>
      <c r="L15" s="71"/>
    </row>
    <row r="16" spans="1:12" ht="14.25" x14ac:dyDescent="0.2">
      <c r="A16" s="82" t="s">
        <v>160</v>
      </c>
      <c r="B16" s="83" t="s">
        <v>42</v>
      </c>
      <c r="C16" s="86">
        <v>0.08</v>
      </c>
      <c r="D16" s="87"/>
      <c r="F16" s="71"/>
      <c r="G16" s="71"/>
      <c r="H16" s="71"/>
      <c r="I16" s="71"/>
      <c r="J16" s="71"/>
      <c r="K16" s="71"/>
      <c r="L16" s="71"/>
    </row>
    <row r="17" spans="1:12" ht="15" x14ac:dyDescent="0.2">
      <c r="A17" s="82" t="s">
        <v>161</v>
      </c>
      <c r="B17" s="88" t="s">
        <v>162</v>
      </c>
      <c r="C17" s="89">
        <f>SUM(C9:C16)</f>
        <v>0.36800000000000005</v>
      </c>
      <c r="D17" s="87"/>
      <c r="F17" s="71"/>
      <c r="G17" s="71"/>
      <c r="H17" s="71"/>
      <c r="I17" s="71"/>
      <c r="J17" s="71"/>
      <c r="K17" s="71"/>
      <c r="L17" s="71"/>
    </row>
    <row r="18" spans="1:12" ht="15" x14ac:dyDescent="0.2">
      <c r="A18" s="90"/>
      <c r="B18" s="91"/>
      <c r="C18" s="92"/>
      <c r="D18" s="87"/>
      <c r="F18" s="71"/>
      <c r="G18" s="71"/>
      <c r="H18" s="71"/>
      <c r="I18" s="71"/>
      <c r="J18" s="71"/>
      <c r="K18" s="71"/>
      <c r="L18" s="71"/>
    </row>
    <row r="19" spans="1:12" ht="14.25" x14ac:dyDescent="0.2">
      <c r="A19" s="82" t="s">
        <v>163</v>
      </c>
      <c r="B19" s="93" t="s">
        <v>164</v>
      </c>
      <c r="C19" s="86">
        <f>ROUND(IF('3.CAGED'!C28&gt;24,(1-12/'3.CAGED'!C28)*0.1111,0.1111-C28),4)</f>
        <v>6.1899999999999997E-2</v>
      </c>
      <c r="D19" s="87"/>
      <c r="F19" s="71"/>
      <c r="G19" s="71"/>
      <c r="H19" s="71"/>
      <c r="I19" s="71"/>
      <c r="J19" s="71"/>
      <c r="K19" s="71"/>
      <c r="L19" s="71"/>
    </row>
    <row r="20" spans="1:12" ht="14.25" x14ac:dyDescent="0.2">
      <c r="A20" s="82" t="s">
        <v>165</v>
      </c>
      <c r="B20" s="93" t="s">
        <v>166</v>
      </c>
      <c r="C20" s="86">
        <f>ROUND('3.CAGED'!C32/'3.CAGED'!C29,4)</f>
        <v>8.3299999999999999E-2</v>
      </c>
      <c r="D20" s="87"/>
      <c r="F20" s="71"/>
      <c r="G20" s="71"/>
      <c r="H20" s="71"/>
      <c r="I20" s="71"/>
      <c r="J20" s="71"/>
      <c r="K20" s="71"/>
      <c r="L20" s="71"/>
    </row>
    <row r="21" spans="1:12" ht="14.25" x14ac:dyDescent="0.2">
      <c r="A21" s="82" t="s">
        <v>219</v>
      </c>
      <c r="B21" s="93" t="s">
        <v>168</v>
      </c>
      <c r="C21" s="86">
        <v>5.9999999999999995E-4</v>
      </c>
      <c r="D21" s="87"/>
      <c r="F21" s="71"/>
      <c r="G21" s="71"/>
      <c r="H21" s="71"/>
      <c r="I21" s="71"/>
      <c r="J21" s="71"/>
      <c r="K21" s="71"/>
      <c r="L21" s="71"/>
    </row>
    <row r="22" spans="1:12" ht="14.25" x14ac:dyDescent="0.2">
      <c r="A22" s="82" t="s">
        <v>167</v>
      </c>
      <c r="B22" s="93" t="s">
        <v>170</v>
      </c>
      <c r="C22" s="86">
        <v>8.2000000000000007E-3</v>
      </c>
      <c r="D22" s="87"/>
      <c r="F22" s="71"/>
      <c r="G22" s="71"/>
      <c r="H22" s="71"/>
      <c r="I22" s="71"/>
      <c r="J22" s="71"/>
      <c r="K22" s="71"/>
      <c r="L22" s="71"/>
    </row>
    <row r="23" spans="1:12" ht="14.25" x14ac:dyDescent="0.2">
      <c r="A23" s="82" t="s">
        <v>169</v>
      </c>
      <c r="B23" s="93" t="s">
        <v>172</v>
      </c>
      <c r="C23" s="86">
        <v>3.0999999999999999E-3</v>
      </c>
      <c r="D23" s="87"/>
      <c r="F23" s="71"/>
      <c r="G23" s="71"/>
      <c r="H23" s="71"/>
      <c r="I23" s="71"/>
      <c r="J23" s="71"/>
      <c r="K23" s="71"/>
      <c r="L23" s="71"/>
    </row>
    <row r="24" spans="1:12" ht="14.25" x14ac:dyDescent="0.2">
      <c r="A24" s="82" t="s">
        <v>171</v>
      </c>
      <c r="B24" s="93" t="s">
        <v>173</v>
      </c>
      <c r="C24" s="86">
        <v>1.66E-2</v>
      </c>
      <c r="D24" s="87"/>
      <c r="F24" s="71"/>
      <c r="G24" s="71"/>
      <c r="H24" s="71"/>
      <c r="I24" s="71"/>
      <c r="J24" s="71"/>
      <c r="K24" s="71"/>
      <c r="L24" s="71"/>
    </row>
    <row r="25" spans="1:12" ht="15" x14ac:dyDescent="0.2">
      <c r="A25" s="82" t="s">
        <v>174</v>
      </c>
      <c r="B25" s="88" t="s">
        <v>175</v>
      </c>
      <c r="C25" s="89">
        <f>SUM(C19:C24)</f>
        <v>0.17369999999999999</v>
      </c>
      <c r="D25" s="94"/>
      <c r="F25" s="71"/>
      <c r="G25" s="71"/>
      <c r="H25" s="71"/>
      <c r="I25" s="71"/>
      <c r="J25" s="71"/>
      <c r="K25" s="71"/>
      <c r="L25" s="71"/>
    </row>
    <row r="26" spans="1:12" ht="15" x14ac:dyDescent="0.2">
      <c r="A26" s="90"/>
      <c r="B26" s="91"/>
      <c r="C26" s="92"/>
      <c r="D26" s="94"/>
      <c r="F26" s="71"/>
      <c r="G26" s="71"/>
      <c r="H26" s="71"/>
      <c r="I26" s="71"/>
      <c r="J26" s="71"/>
      <c r="K26" s="71"/>
      <c r="L26" s="71"/>
    </row>
    <row r="27" spans="1:12" ht="14.25" x14ac:dyDescent="0.2">
      <c r="A27" s="82" t="s">
        <v>176</v>
      </c>
      <c r="B27" s="83" t="s">
        <v>177</v>
      </c>
      <c r="C27" s="86">
        <f>ROUND(('3.CAGED'!C33) *'3.CAGED'!C26/'3.CAGED'!C29,4)</f>
        <v>2.5600000000000001E-2</v>
      </c>
      <c r="D27" s="87"/>
      <c r="E27" s="95"/>
      <c r="F27" s="71"/>
      <c r="G27" s="71"/>
      <c r="H27" s="71"/>
      <c r="I27" s="71"/>
      <c r="J27" s="71"/>
      <c r="K27" s="71"/>
      <c r="L27" s="71"/>
    </row>
    <row r="28" spans="1:12" ht="14.25" x14ac:dyDescent="0.2">
      <c r="A28" s="82" t="s">
        <v>218</v>
      </c>
      <c r="B28" s="83" t="s">
        <v>179</v>
      </c>
      <c r="C28" s="86">
        <f>ROUND(IF('3.CAGED'!C28&gt;12,12/'3.CAGED'!C28*0.1111,0.1111),4)</f>
        <v>4.9200000000000001E-2</v>
      </c>
      <c r="D28" s="87"/>
      <c r="F28" s="71"/>
      <c r="G28" s="71"/>
      <c r="H28" s="96"/>
      <c r="I28" s="71"/>
      <c r="J28" s="71"/>
      <c r="K28" s="71"/>
      <c r="L28" s="71"/>
    </row>
    <row r="29" spans="1:12" ht="14.25" x14ac:dyDescent="0.2">
      <c r="A29" s="82" t="s">
        <v>178</v>
      </c>
      <c r="B29" s="83" t="s">
        <v>181</v>
      </c>
      <c r="C29" s="86">
        <f>C27*C28</f>
        <v>1.2595200000000001E-3</v>
      </c>
      <c r="D29" s="87"/>
      <c r="E29" s="95"/>
      <c r="F29" s="71"/>
      <c r="G29" s="71"/>
      <c r="H29" s="71"/>
      <c r="I29" s="71"/>
      <c r="J29" s="71"/>
      <c r="K29" s="71"/>
      <c r="L29" s="71"/>
    </row>
    <row r="30" spans="1:12" ht="14.25" x14ac:dyDescent="0.2">
      <c r="A30" s="82" t="s">
        <v>180</v>
      </c>
      <c r="B30" s="83" t="s">
        <v>183</v>
      </c>
      <c r="C30" s="86">
        <f>ROUND(('3.CAGED'!C29+'3.CAGED'!C30+'3.CAGED'!C32)/'3.CAGED'!C27*'3.CAGED'!C34*'3.CAGED'!C35*'3.CAGED'!C26/'3.CAGED'!C29,4)</f>
        <v>2.0500000000000001E-2</v>
      </c>
      <c r="D30" s="87"/>
      <c r="F30" s="71"/>
      <c r="G30" s="97"/>
      <c r="H30" s="71"/>
      <c r="I30" s="71"/>
      <c r="J30" s="71"/>
      <c r="K30" s="71"/>
      <c r="L30" s="71"/>
    </row>
    <row r="31" spans="1:12" ht="14.25" x14ac:dyDescent="0.2">
      <c r="A31" s="82" t="s">
        <v>182</v>
      </c>
      <c r="B31" s="83" t="s">
        <v>184</v>
      </c>
      <c r="C31" s="86">
        <f>ROUND(('3.CAGED'!C31/'3.CAGED'!C29)*'3.CAGED'!C26/12,4)</f>
        <v>1.8E-3</v>
      </c>
      <c r="D31" s="87"/>
      <c r="F31" s="71"/>
      <c r="G31" s="71"/>
      <c r="H31" s="71"/>
      <c r="I31" s="71"/>
      <c r="J31" s="71"/>
      <c r="K31" s="71"/>
      <c r="L31" s="71"/>
    </row>
    <row r="32" spans="1:12" ht="15" x14ac:dyDescent="0.2">
      <c r="A32" s="82" t="s">
        <v>185</v>
      </c>
      <c r="B32" s="88" t="s">
        <v>186</v>
      </c>
      <c r="C32" s="89">
        <f>SUM(C27:C31)</f>
        <v>9.8359520000000006E-2</v>
      </c>
      <c r="D32" s="94"/>
      <c r="F32" s="71"/>
      <c r="G32" s="71"/>
      <c r="H32" s="71"/>
      <c r="I32" s="71"/>
      <c r="J32" s="71"/>
      <c r="K32" s="71"/>
      <c r="L32" s="71"/>
    </row>
    <row r="33" spans="1:12" ht="15" x14ac:dyDescent="0.2">
      <c r="A33" s="90"/>
      <c r="B33" s="91"/>
      <c r="C33" s="92"/>
      <c r="D33" s="94"/>
      <c r="F33" s="71"/>
      <c r="G33" s="71"/>
      <c r="H33" s="71"/>
      <c r="I33" s="71"/>
      <c r="J33" s="71"/>
      <c r="K33" s="71"/>
      <c r="L33" s="71"/>
    </row>
    <row r="34" spans="1:12" ht="14.25" x14ac:dyDescent="0.2">
      <c r="A34" s="82" t="s">
        <v>187</v>
      </c>
      <c r="B34" s="83" t="s">
        <v>188</v>
      </c>
      <c r="C34" s="86">
        <f>ROUND(C17*C25,4)</f>
        <v>6.3899999999999998E-2</v>
      </c>
      <c r="D34" s="87"/>
      <c r="F34" s="71"/>
      <c r="G34" s="71"/>
      <c r="H34" s="71"/>
      <c r="I34" s="71"/>
      <c r="J34" s="71"/>
      <c r="K34" s="71"/>
      <c r="L34" s="71"/>
    </row>
    <row r="35" spans="1:12" ht="28.5" x14ac:dyDescent="0.2">
      <c r="A35" s="82" t="s">
        <v>189</v>
      </c>
      <c r="B35" s="98" t="s">
        <v>285</v>
      </c>
      <c r="C35" s="86">
        <f>ROUND((C27*C16),4)</f>
        <v>2E-3</v>
      </c>
      <c r="D35" s="87"/>
      <c r="F35" s="71"/>
      <c r="G35" s="71"/>
      <c r="H35" s="71"/>
      <c r="I35" s="71"/>
      <c r="J35" s="71"/>
      <c r="K35" s="71"/>
      <c r="L35" s="71"/>
    </row>
    <row r="36" spans="1:12" ht="15" x14ac:dyDescent="0.2">
      <c r="A36" s="82" t="s">
        <v>190</v>
      </c>
      <c r="B36" s="88" t="s">
        <v>191</v>
      </c>
      <c r="C36" s="89">
        <f>SUM(C34:C35)</f>
        <v>6.59E-2</v>
      </c>
      <c r="D36" s="99"/>
      <c r="F36" s="71"/>
      <c r="G36" s="71"/>
      <c r="H36" s="71"/>
      <c r="I36" s="71"/>
      <c r="J36" s="71"/>
      <c r="K36" s="71"/>
      <c r="L36" s="71"/>
    </row>
    <row r="37" spans="1:12" ht="15.75" thickBot="1" x14ac:dyDescent="0.25">
      <c r="A37" s="100"/>
      <c r="B37" s="101" t="s">
        <v>192</v>
      </c>
      <c r="C37" s="102">
        <f>C36+C32+C25+C17</f>
        <v>0.70595951999999995</v>
      </c>
      <c r="D37" s="99"/>
      <c r="F37" s="71"/>
      <c r="G37" s="71"/>
      <c r="H37" s="71"/>
      <c r="I37" s="71"/>
      <c r="J37" s="71"/>
      <c r="K37" s="71"/>
      <c r="L37" s="71"/>
    </row>
    <row r="38" spans="1:12" ht="15" x14ac:dyDescent="0.2">
      <c r="A38" s="87"/>
      <c r="B38" s="103"/>
      <c r="C38" s="104"/>
      <c r="D38" s="105"/>
      <c r="F38" s="71"/>
      <c r="G38" s="71"/>
      <c r="H38" s="71"/>
      <c r="I38" s="71"/>
      <c r="J38" s="71"/>
      <c r="K38" s="71"/>
      <c r="L38" s="71"/>
    </row>
    <row r="39" spans="1:12" ht="14.25" x14ac:dyDescent="0.2">
      <c r="A39" s="87"/>
      <c r="B39" s="87"/>
      <c r="C39" s="106"/>
      <c r="D39" s="107"/>
      <c r="F39" s="71"/>
      <c r="G39" s="71"/>
      <c r="H39" s="71"/>
      <c r="I39" s="71"/>
      <c r="J39" s="71"/>
      <c r="K39" s="71"/>
      <c r="L39" s="71"/>
    </row>
    <row r="40" spans="1:12" ht="14.25" x14ac:dyDescent="0.2">
      <c r="A40" s="85"/>
      <c r="B40" s="85"/>
      <c r="C40" s="108"/>
      <c r="D40" s="85"/>
      <c r="F40" s="71"/>
      <c r="G40" s="71"/>
      <c r="H40" s="71"/>
      <c r="I40" s="71"/>
      <c r="J40" s="71"/>
      <c r="K40" s="71"/>
      <c r="L40" s="71"/>
    </row>
    <row r="41" spans="1:12" ht="14.25" x14ac:dyDescent="0.2">
      <c r="A41" s="85"/>
      <c r="B41" s="85"/>
      <c r="C41" s="108"/>
      <c r="D41" s="85"/>
      <c r="F41" s="71"/>
      <c r="G41" s="71"/>
      <c r="H41" s="71"/>
      <c r="I41" s="71"/>
      <c r="J41" s="71"/>
      <c r="K41" s="71"/>
      <c r="L41" s="71"/>
    </row>
    <row r="42" spans="1:12" ht="14.25" x14ac:dyDescent="0.2">
      <c r="A42" s="85"/>
      <c r="B42" s="85"/>
      <c r="C42" s="108"/>
      <c r="D42" s="85"/>
      <c r="F42" s="71"/>
      <c r="G42" s="71"/>
      <c r="H42" s="71"/>
      <c r="I42" s="71"/>
      <c r="J42" s="71"/>
      <c r="K42" s="71"/>
      <c r="L42" s="71"/>
    </row>
    <row r="43" spans="1:12" ht="15" x14ac:dyDescent="0.2">
      <c r="A43" s="85"/>
      <c r="B43" s="109"/>
      <c r="C43" s="110"/>
      <c r="D43" s="85"/>
      <c r="F43" s="71"/>
      <c r="G43" s="71"/>
      <c r="H43" s="71"/>
      <c r="I43" s="71"/>
      <c r="J43" s="71"/>
      <c r="K43" s="71"/>
      <c r="L43" s="71"/>
    </row>
    <row r="44" spans="1:12" ht="15" x14ac:dyDescent="0.2">
      <c r="A44" s="99"/>
      <c r="B44" s="109"/>
      <c r="C44" s="110"/>
      <c r="D44" s="99"/>
      <c r="E44" s="71"/>
      <c r="F44" s="71"/>
      <c r="G44" s="71"/>
      <c r="H44" s="71"/>
      <c r="I44" s="71"/>
      <c r="J44" s="71"/>
      <c r="K44" s="71"/>
      <c r="L44" s="71"/>
    </row>
    <row r="45" spans="1:12" ht="16.5" x14ac:dyDescent="0.2">
      <c r="A45" s="111"/>
      <c r="B45" s="71"/>
      <c r="C45" s="71"/>
      <c r="E45" s="71"/>
      <c r="F45" s="71"/>
      <c r="G45" s="71"/>
      <c r="H45" s="71"/>
      <c r="I45" s="71"/>
      <c r="J45" s="71"/>
      <c r="K45" s="71"/>
      <c r="L45" s="71"/>
    </row>
    <row r="46" spans="1:12" x14ac:dyDescent="0.2">
      <c r="A46" s="112"/>
      <c r="B46" s="113"/>
      <c r="C46" s="113"/>
      <c r="E46" s="71"/>
      <c r="F46" s="71"/>
      <c r="G46" s="71"/>
      <c r="H46" s="71"/>
      <c r="I46" s="71"/>
      <c r="J46" s="71"/>
      <c r="K46" s="71"/>
      <c r="L46" s="71"/>
    </row>
    <row r="47" spans="1:12" ht="14.25" x14ac:dyDescent="0.2">
      <c r="A47" s="85"/>
      <c r="B47" s="114"/>
      <c r="C47" s="113"/>
      <c r="E47" s="71"/>
      <c r="F47" s="71"/>
      <c r="G47" s="71"/>
      <c r="H47" s="71"/>
      <c r="I47" s="71"/>
      <c r="J47" s="71"/>
      <c r="K47" s="71"/>
      <c r="L47" s="71"/>
    </row>
    <row r="48" spans="1:12" ht="14.25" x14ac:dyDescent="0.2">
      <c r="A48" s="85"/>
      <c r="B48" s="114"/>
      <c r="C48" s="85"/>
      <c r="E48" s="71"/>
      <c r="F48" s="71"/>
      <c r="G48" s="71"/>
      <c r="H48" s="71"/>
      <c r="I48" s="71"/>
      <c r="J48" s="71"/>
      <c r="K48" s="71"/>
      <c r="L48" s="71"/>
    </row>
    <row r="49" spans="1:12" ht="14.25" x14ac:dyDescent="0.2">
      <c r="A49" s="85"/>
      <c r="B49" s="108"/>
      <c r="C49" s="113"/>
      <c r="E49" s="71"/>
      <c r="F49" s="71"/>
      <c r="G49" s="71"/>
      <c r="H49" s="71"/>
      <c r="I49" s="71"/>
      <c r="J49" s="71"/>
      <c r="K49" s="71"/>
      <c r="L49" s="71"/>
    </row>
    <row r="50" spans="1:12" ht="14.25" x14ac:dyDescent="0.2">
      <c r="A50" s="85"/>
      <c r="B50" s="114"/>
      <c r="C50" s="85"/>
      <c r="E50" s="71"/>
      <c r="F50" s="71"/>
      <c r="G50" s="71"/>
      <c r="H50" s="71"/>
      <c r="I50" s="71"/>
      <c r="J50" s="71"/>
      <c r="K50" s="71"/>
      <c r="L50" s="71"/>
    </row>
    <row r="51" spans="1:12" ht="14.25" x14ac:dyDescent="0.2">
      <c r="A51" s="85"/>
      <c r="B51" s="108"/>
      <c r="C51" s="113"/>
      <c r="E51" s="71"/>
      <c r="F51" s="71"/>
      <c r="G51" s="71"/>
      <c r="H51" s="71"/>
      <c r="I51" s="71"/>
      <c r="J51" s="71"/>
      <c r="K51" s="71"/>
      <c r="L51" s="71"/>
    </row>
    <row r="52" spans="1:12" ht="14.25" x14ac:dyDescent="0.2">
      <c r="A52" s="85"/>
      <c r="B52" s="114"/>
      <c r="C52" s="85"/>
      <c r="E52" s="71"/>
      <c r="F52" s="71"/>
      <c r="G52" s="71"/>
      <c r="H52" s="71"/>
      <c r="I52" s="71"/>
      <c r="J52" s="71"/>
      <c r="K52" s="71"/>
      <c r="L52" s="71"/>
    </row>
    <row r="53" spans="1:12" ht="14.25" x14ac:dyDescent="0.2">
      <c r="A53" s="85"/>
      <c r="B53" s="108"/>
      <c r="C53" s="113"/>
      <c r="E53" s="71"/>
      <c r="F53" s="71"/>
      <c r="G53" s="71"/>
      <c r="H53" s="71"/>
      <c r="I53" s="71"/>
      <c r="J53" s="71"/>
      <c r="K53" s="71"/>
      <c r="L53" s="71"/>
    </row>
    <row r="54" spans="1:12" ht="14.25" x14ac:dyDescent="0.2">
      <c r="A54" s="85"/>
      <c r="B54" s="114"/>
      <c r="C54" s="85"/>
      <c r="E54" s="71"/>
      <c r="F54" s="71"/>
      <c r="G54" s="71"/>
      <c r="H54" s="71"/>
      <c r="I54" s="71"/>
      <c r="J54" s="71"/>
      <c r="K54" s="71"/>
      <c r="L54" s="71"/>
    </row>
    <row r="55" spans="1:12" ht="14.25" x14ac:dyDescent="0.2">
      <c r="A55" s="85"/>
      <c r="B55" s="108"/>
      <c r="C55" s="113"/>
      <c r="E55" s="71"/>
      <c r="F55" s="71"/>
      <c r="G55" s="71"/>
      <c r="H55" s="71"/>
      <c r="I55" s="71"/>
      <c r="J55" s="71"/>
      <c r="K55" s="71"/>
      <c r="L55" s="71"/>
    </row>
    <row r="56" spans="1:12" ht="16.5" x14ac:dyDescent="0.2">
      <c r="A56" s="111"/>
      <c r="B56" s="71"/>
      <c r="C56" s="71"/>
      <c r="E56" s="71"/>
      <c r="F56" s="71"/>
      <c r="G56" s="71"/>
      <c r="H56" s="71"/>
      <c r="I56" s="71"/>
      <c r="J56" s="71"/>
      <c r="K56" s="71"/>
      <c r="L56" s="71"/>
    </row>
    <row r="57" spans="1:12" x14ac:dyDescent="0.2">
      <c r="A57" s="71"/>
      <c r="B57" s="71"/>
      <c r="C57" s="71"/>
      <c r="E57" s="71"/>
      <c r="F57" s="71"/>
      <c r="G57" s="71"/>
      <c r="H57" s="71"/>
      <c r="I57" s="71"/>
      <c r="J57" s="71"/>
      <c r="K57" s="71"/>
      <c r="L57" s="71"/>
    </row>
    <row r="58" spans="1:12" x14ac:dyDescent="0.2">
      <c r="A58" s="71"/>
      <c r="B58" s="71"/>
      <c r="C58" s="71"/>
      <c r="E58" s="71"/>
      <c r="F58" s="71"/>
      <c r="G58" s="71"/>
      <c r="H58" s="71"/>
      <c r="I58" s="71"/>
      <c r="J58" s="71"/>
      <c r="K58" s="71"/>
      <c r="L58" s="71"/>
    </row>
    <row r="59" spans="1:12" x14ac:dyDescent="0.2">
      <c r="A59" s="115"/>
      <c r="B59" s="71"/>
      <c r="C59" s="71"/>
      <c r="E59" s="71"/>
      <c r="F59" s="71"/>
      <c r="G59" s="71"/>
      <c r="H59" s="71"/>
      <c r="I59" s="71"/>
      <c r="J59" s="71"/>
      <c r="K59" s="71"/>
      <c r="L59" s="71"/>
    </row>
    <row r="60" spans="1:12" x14ac:dyDescent="0.2">
      <c r="A60" s="71"/>
      <c r="B60" s="71"/>
      <c r="C60" s="71"/>
      <c r="E60" s="71"/>
    </row>
    <row r="61" spans="1:12" x14ac:dyDescent="0.2">
      <c r="A61" s="71"/>
      <c r="B61" s="71"/>
      <c r="C61" s="71"/>
      <c r="E61" s="71"/>
    </row>
    <row r="62" spans="1:12" x14ac:dyDescent="0.2">
      <c r="A62" s="71"/>
      <c r="B62" s="71"/>
      <c r="C62" s="71"/>
      <c r="E62" s="71"/>
    </row>
    <row r="63" spans="1:12" x14ac:dyDescent="0.2">
      <c r="A63" s="71"/>
      <c r="B63" s="71"/>
      <c r="C63" s="71"/>
      <c r="E63" s="71"/>
    </row>
    <row r="64" spans="1:12" x14ac:dyDescent="0.2">
      <c r="A64" s="71"/>
      <c r="B64" s="71"/>
      <c r="C64" s="71"/>
      <c r="E64" s="71"/>
    </row>
    <row r="65" spans="1:5" x14ac:dyDescent="0.2">
      <c r="A65" s="71"/>
      <c r="B65" s="71"/>
      <c r="C65" s="71"/>
      <c r="E65" s="71"/>
    </row>
    <row r="66" spans="1:5" x14ac:dyDescent="0.2">
      <c r="A66" s="71"/>
      <c r="B66" s="71"/>
      <c r="C66" s="71"/>
      <c r="E66" s="71"/>
    </row>
    <row r="67" spans="1:5" x14ac:dyDescent="0.2">
      <c r="A67" s="71"/>
      <c r="B67" s="71"/>
      <c r="C67" s="71"/>
      <c r="E67" s="71"/>
    </row>
    <row r="68" spans="1:5" x14ac:dyDescent="0.2">
      <c r="A68" s="71"/>
      <c r="B68" s="71"/>
      <c r="C68" s="71"/>
      <c r="E68" s="71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Normal="100" workbookViewId="0">
      <selection activeCell="D35" sqref="D35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43" t="s">
        <v>242</v>
      </c>
    </row>
    <row r="3" spans="1:3" ht="12.75" customHeight="1" x14ac:dyDescent="0.2">
      <c r="A3" s="323" t="s">
        <v>296</v>
      </c>
      <c r="B3" s="323"/>
      <c r="C3" s="323"/>
    </row>
    <row r="4" spans="1:3" x14ac:dyDescent="0.2">
      <c r="A4" s="323"/>
      <c r="B4" s="323"/>
      <c r="C4" s="323"/>
    </row>
    <row r="5" spans="1:3" x14ac:dyDescent="0.2">
      <c r="A5" s="205"/>
    </row>
    <row r="6" spans="1:3" ht="13.5" thickBot="1" x14ac:dyDescent="0.25"/>
    <row r="7" spans="1:3" ht="18" x14ac:dyDescent="0.25">
      <c r="B7" s="321" t="s">
        <v>228</v>
      </c>
      <c r="C7" s="322"/>
    </row>
    <row r="8" spans="1:3" ht="15" x14ac:dyDescent="0.25">
      <c r="A8" s="71"/>
      <c r="B8" s="70" t="s">
        <v>207</v>
      </c>
      <c r="C8" s="116"/>
    </row>
    <row r="9" spans="1:3" ht="15" x14ac:dyDescent="0.25">
      <c r="A9" s="71"/>
      <c r="B9" s="72" t="s">
        <v>128</v>
      </c>
      <c r="C9" s="73">
        <v>2100</v>
      </c>
    </row>
    <row r="10" spans="1:3" ht="15" x14ac:dyDescent="0.25">
      <c r="A10" s="71"/>
      <c r="B10" s="74" t="s">
        <v>129</v>
      </c>
      <c r="C10" s="73">
        <v>2031</v>
      </c>
    </row>
    <row r="11" spans="1:3" ht="14.25" x14ac:dyDescent="0.2">
      <c r="A11" s="71"/>
      <c r="B11" s="117" t="s">
        <v>130</v>
      </c>
      <c r="C11" s="118">
        <v>44</v>
      </c>
    </row>
    <row r="12" spans="1:3" ht="14.25" x14ac:dyDescent="0.2">
      <c r="A12" s="71"/>
      <c r="B12" s="117" t="s">
        <v>131</v>
      </c>
      <c r="C12" s="118">
        <v>1192</v>
      </c>
    </row>
    <row r="13" spans="1:3" ht="14.25" x14ac:dyDescent="0.2">
      <c r="A13" s="71"/>
      <c r="B13" s="117" t="s">
        <v>132</v>
      </c>
      <c r="C13" s="118">
        <v>372</v>
      </c>
    </row>
    <row r="14" spans="1:3" ht="14.25" x14ac:dyDescent="0.2">
      <c r="A14" s="71"/>
      <c r="B14" s="117" t="s">
        <v>133</v>
      </c>
      <c r="C14" s="118">
        <v>22</v>
      </c>
    </row>
    <row r="15" spans="1:3" ht="14.25" x14ac:dyDescent="0.2">
      <c r="A15" s="71"/>
      <c r="B15" s="117" t="s">
        <v>134</v>
      </c>
      <c r="C15" s="118">
        <v>350</v>
      </c>
    </row>
    <row r="16" spans="1:3" ht="14.25" x14ac:dyDescent="0.2">
      <c r="A16" s="71"/>
      <c r="B16" s="117" t="s">
        <v>135</v>
      </c>
      <c r="C16" s="118">
        <v>1</v>
      </c>
    </row>
    <row r="17" spans="1:5" ht="14.25" x14ac:dyDescent="0.2">
      <c r="A17" s="71"/>
      <c r="B17" s="117" t="s">
        <v>136</v>
      </c>
      <c r="C17" s="118">
        <v>30</v>
      </c>
    </row>
    <row r="18" spans="1:5" ht="14.25" x14ac:dyDescent="0.2">
      <c r="A18" s="71"/>
      <c r="B18" s="119" t="s">
        <v>137</v>
      </c>
      <c r="C18" s="120">
        <v>0</v>
      </c>
    </row>
    <row r="19" spans="1:5" ht="14.25" x14ac:dyDescent="0.2">
      <c r="A19" s="71"/>
      <c r="B19" s="211" t="s">
        <v>292</v>
      </c>
      <c r="C19" s="120">
        <v>0</v>
      </c>
    </row>
    <row r="20" spans="1:5" ht="15" x14ac:dyDescent="0.25">
      <c r="A20" s="71" t="s">
        <v>138</v>
      </c>
      <c r="B20" s="70" t="s">
        <v>139</v>
      </c>
      <c r="C20" s="116"/>
    </row>
    <row r="21" spans="1:5" ht="14.25" x14ac:dyDescent="0.2">
      <c r="A21" s="71"/>
      <c r="B21" s="121" t="s">
        <v>294</v>
      </c>
      <c r="C21" s="122">
        <v>4625</v>
      </c>
    </row>
    <row r="22" spans="1:5" ht="14.25" x14ac:dyDescent="0.2">
      <c r="A22" s="71"/>
      <c r="B22" s="117" t="s">
        <v>295</v>
      </c>
      <c r="C22" s="118">
        <v>4694</v>
      </c>
    </row>
    <row r="23" spans="1:5" ht="14.25" x14ac:dyDescent="0.2">
      <c r="B23" s="117" t="s">
        <v>293</v>
      </c>
      <c r="C23" s="204">
        <f>C9-C10</f>
        <v>69</v>
      </c>
    </row>
    <row r="24" spans="1:5" ht="14.25" x14ac:dyDescent="0.2">
      <c r="B24" s="123"/>
      <c r="C24" s="124"/>
    </row>
    <row r="25" spans="1:5" s="43" customFormat="1" ht="15" x14ac:dyDescent="0.25">
      <c r="B25" s="72" t="s">
        <v>141</v>
      </c>
      <c r="C25" s="125">
        <f>MEDIAN(C21,C22)</f>
        <v>4659.5</v>
      </c>
    </row>
    <row r="26" spans="1:5" ht="15" x14ac:dyDescent="0.25">
      <c r="B26" s="74" t="s">
        <v>290</v>
      </c>
      <c r="C26" s="209">
        <f>C12/C25</f>
        <v>0.25582144006867691</v>
      </c>
    </row>
    <row r="27" spans="1:5" ht="15" x14ac:dyDescent="0.25">
      <c r="B27" s="74" t="s">
        <v>291</v>
      </c>
      <c r="C27" s="209">
        <f>MEDIAN(C9,C10)/C25</f>
        <v>0.44328790642772831</v>
      </c>
      <c r="E27" s="178"/>
    </row>
    <row r="28" spans="1:5" s="43" customFormat="1" ht="15" x14ac:dyDescent="0.25">
      <c r="B28" s="74" t="s">
        <v>247</v>
      </c>
      <c r="C28" s="207">
        <f>12/C27</f>
        <v>27.070442992011618</v>
      </c>
    </row>
    <row r="29" spans="1:5" ht="15" x14ac:dyDescent="0.25">
      <c r="B29" s="74" t="s">
        <v>140</v>
      </c>
      <c r="C29" s="76">
        <v>360</v>
      </c>
    </row>
    <row r="30" spans="1:5" ht="15" x14ac:dyDescent="0.25">
      <c r="B30" s="74" t="s">
        <v>243</v>
      </c>
      <c r="C30" s="76">
        <v>10</v>
      </c>
    </row>
    <row r="31" spans="1:5" ht="15" x14ac:dyDescent="0.25">
      <c r="B31" s="72" t="s">
        <v>244</v>
      </c>
      <c r="C31" s="75">
        <v>30</v>
      </c>
    </row>
    <row r="32" spans="1:5" ht="15" x14ac:dyDescent="0.25">
      <c r="B32" s="72" t="s">
        <v>245</v>
      </c>
      <c r="C32" s="75">
        <v>30</v>
      </c>
    </row>
    <row r="33" spans="2:3" s="43" customFormat="1" ht="15" x14ac:dyDescent="0.25">
      <c r="B33" s="72" t="s">
        <v>143</v>
      </c>
      <c r="C33" s="75">
        <f>30+(3*TRUNC(1/C27))</f>
        <v>36</v>
      </c>
    </row>
    <row r="34" spans="2:3" s="43" customFormat="1" ht="15" x14ac:dyDescent="0.25">
      <c r="B34" s="74" t="s">
        <v>42</v>
      </c>
      <c r="C34" s="208">
        <v>0.08</v>
      </c>
    </row>
    <row r="35" spans="2:3" s="43" customFormat="1" ht="15.75" thickBot="1" x14ac:dyDescent="0.3">
      <c r="B35" s="77" t="s">
        <v>142</v>
      </c>
      <c r="C35" s="210">
        <v>0.4</v>
      </c>
    </row>
  </sheetData>
  <mergeCells count="2">
    <mergeCell ref="B7:C7"/>
    <mergeCell ref="A3:C4"/>
  </mergeCells>
  <pageMargins left="0.90551181102362199" right="0.51181102362204722" top="0.74803149606299213" bottom="0.74803149606299213" header="0.31496062992125984" footer="0.31496062992125984"/>
  <pageSetup paperSize="9" scale="98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activeCell="C15" sqref="C15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52" bestFit="1" customWidth="1"/>
    <col min="6" max="6" width="9.7109375" bestFit="1" customWidth="1"/>
  </cols>
  <sheetData>
    <row r="1" spans="1:8" s="66" customFormat="1" ht="14.25" x14ac:dyDescent="0.2">
      <c r="A1" s="9"/>
      <c r="B1" s="64"/>
      <c r="C1" s="64"/>
      <c r="E1" s="67"/>
    </row>
    <row r="2" spans="1:8" s="66" customFormat="1" ht="14.25" x14ac:dyDescent="0.2">
      <c r="A2" s="62"/>
      <c r="B2" s="64"/>
      <c r="C2" s="64"/>
      <c r="E2" s="67"/>
    </row>
    <row r="3" spans="1:8" s="66" customFormat="1" ht="14.25" x14ac:dyDescent="0.2">
      <c r="A3" s="7"/>
      <c r="B3" s="64"/>
      <c r="C3" s="64"/>
      <c r="E3" s="67"/>
    </row>
    <row r="4" spans="1:8" s="66" customFormat="1" ht="14.25" x14ac:dyDescent="0.2">
      <c r="A4" s="7"/>
      <c r="B4" s="64"/>
      <c r="C4" s="64"/>
      <c r="E4" s="67"/>
    </row>
    <row r="5" spans="1:8" s="2" customFormat="1" ht="15.6" customHeight="1" x14ac:dyDescent="0.2">
      <c r="A5" s="203"/>
      <c r="B5" s="61"/>
      <c r="C5" s="61"/>
      <c r="D5" s="61"/>
      <c r="E5" s="61"/>
      <c r="F5" s="61"/>
      <c r="G5" s="4"/>
    </row>
    <row r="6" spans="1:8" s="2" customFormat="1" ht="16.5" customHeight="1" x14ac:dyDescent="0.2">
      <c r="A6" s="203"/>
      <c r="B6" s="3"/>
      <c r="C6" s="3"/>
      <c r="D6" s="4"/>
      <c r="E6" s="4"/>
      <c r="F6" s="4"/>
      <c r="G6" s="4"/>
    </row>
    <row r="7" spans="1:8" s="66" customFormat="1" ht="15" thickBot="1" x14ac:dyDescent="0.25">
      <c r="B7" s="64"/>
      <c r="C7" s="64"/>
      <c r="E7" s="67"/>
    </row>
    <row r="8" spans="1:8" ht="15.75" x14ac:dyDescent="0.2">
      <c r="A8" s="329" t="s">
        <v>229</v>
      </c>
      <c r="B8" s="330"/>
      <c r="C8" s="330"/>
      <c r="D8" s="330"/>
      <c r="E8" s="330"/>
      <c r="F8" s="331"/>
    </row>
    <row r="9" spans="1:8" ht="16.5" thickBot="1" x14ac:dyDescent="0.25">
      <c r="A9" s="169"/>
      <c r="B9" s="170"/>
      <c r="C9" s="170"/>
      <c r="D9" s="170"/>
      <c r="E9" s="170"/>
      <c r="F9" s="171"/>
    </row>
    <row r="10" spans="1:8" ht="15" x14ac:dyDescent="0.25">
      <c r="A10" s="126"/>
      <c r="B10" s="65"/>
      <c r="C10" s="65"/>
      <c r="D10" s="326" t="s">
        <v>246</v>
      </c>
      <c r="E10" s="327"/>
      <c r="F10" s="328"/>
      <c r="G10" s="66"/>
      <c r="H10" s="66"/>
    </row>
    <row r="11" spans="1:8" ht="15" thickBot="1" x14ac:dyDescent="0.25">
      <c r="A11" s="123"/>
      <c r="B11" s="127"/>
      <c r="C11" s="127"/>
      <c r="D11" s="128" t="s">
        <v>193</v>
      </c>
      <c r="E11" s="129" t="s">
        <v>194</v>
      </c>
      <c r="F11" s="130" t="s">
        <v>195</v>
      </c>
      <c r="G11" s="66"/>
      <c r="H11" s="66"/>
    </row>
    <row r="12" spans="1:8" ht="14.25" x14ac:dyDescent="0.2">
      <c r="A12" s="131" t="s">
        <v>75</v>
      </c>
      <c r="B12" s="132" t="s">
        <v>76</v>
      </c>
      <c r="C12" s="133">
        <v>5.0799999999999998E-2</v>
      </c>
      <c r="D12" s="154">
        <v>2.9700000000000001E-2</v>
      </c>
      <c r="E12" s="155">
        <v>5.0799999999999998E-2</v>
      </c>
      <c r="F12" s="156">
        <v>6.2700000000000006E-2</v>
      </c>
      <c r="G12" s="66"/>
      <c r="H12" s="66"/>
    </row>
    <row r="13" spans="1:8" ht="14.25" x14ac:dyDescent="0.2">
      <c r="A13" s="135" t="s">
        <v>77</v>
      </c>
      <c r="B13" s="136" t="s">
        <v>78</v>
      </c>
      <c r="C13" s="137">
        <v>1.3299999999999999E-2</v>
      </c>
      <c r="D13" s="154">
        <f>0.3%+0.56%</f>
        <v>8.6E-3</v>
      </c>
      <c r="E13" s="155">
        <f>0.48%+0.85%</f>
        <v>1.3299999999999999E-2</v>
      </c>
      <c r="F13" s="156">
        <f>0.82%+0.89%</f>
        <v>1.7099999999999997E-2</v>
      </c>
      <c r="G13" s="66"/>
      <c r="H13" s="66"/>
    </row>
    <row r="14" spans="1:8" ht="14.25" x14ac:dyDescent="0.2">
      <c r="A14" s="135" t="s">
        <v>79</v>
      </c>
      <c r="B14" s="136" t="s">
        <v>80</v>
      </c>
      <c r="C14" s="137">
        <v>0.1085</v>
      </c>
      <c r="D14" s="154">
        <v>7.7799999999999994E-2</v>
      </c>
      <c r="E14" s="155">
        <v>0.1085</v>
      </c>
      <c r="F14" s="156">
        <v>0.13550000000000001</v>
      </c>
      <c r="G14" s="66"/>
      <c r="H14" s="66"/>
    </row>
    <row r="15" spans="1:8" ht="14.25" x14ac:dyDescent="0.2">
      <c r="A15" s="135" t="s">
        <v>81</v>
      </c>
      <c r="B15" s="136" t="s">
        <v>82</v>
      </c>
      <c r="C15" s="138">
        <f>(1+E15)^(E16/252)-1</f>
        <v>1.0587638444311542E-2</v>
      </c>
      <c r="D15" s="154" t="s">
        <v>301</v>
      </c>
      <c r="E15" s="139">
        <v>9.2499999999999999E-2</v>
      </c>
      <c r="F15" s="134"/>
      <c r="G15" s="66"/>
      <c r="H15" s="66"/>
    </row>
    <row r="16" spans="1:8" ht="14.25" x14ac:dyDescent="0.2">
      <c r="A16" s="135" t="s">
        <v>83</v>
      </c>
      <c r="B16" s="324" t="s">
        <v>84</v>
      </c>
      <c r="C16" s="137">
        <v>0.03</v>
      </c>
      <c r="D16" s="202" t="s">
        <v>196</v>
      </c>
      <c r="E16" s="140">
        <v>30</v>
      </c>
      <c r="F16" s="141"/>
      <c r="G16" s="66"/>
      <c r="H16" s="66"/>
    </row>
    <row r="17" spans="1:8" ht="15" thickBot="1" x14ac:dyDescent="0.25">
      <c r="A17" s="142" t="s">
        <v>85</v>
      </c>
      <c r="B17" s="325"/>
      <c r="C17" s="143">
        <v>3.6499999999999998E-2</v>
      </c>
      <c r="D17" s="117"/>
      <c r="E17" s="144"/>
      <c r="F17" s="141"/>
      <c r="G17" s="66"/>
      <c r="H17" s="66"/>
    </row>
    <row r="18" spans="1:8" ht="14.25" x14ac:dyDescent="0.2">
      <c r="A18" s="145" t="s">
        <v>86</v>
      </c>
      <c r="B18" s="146"/>
      <c r="C18" s="147"/>
      <c r="D18" s="117"/>
      <c r="E18" s="144"/>
      <c r="F18" s="141"/>
      <c r="G18" s="66"/>
      <c r="H18" s="66"/>
    </row>
    <row r="19" spans="1:8" ht="15" thickBot="1" x14ac:dyDescent="0.25">
      <c r="A19" s="148" t="s">
        <v>87</v>
      </c>
      <c r="B19" s="149"/>
      <c r="C19" s="150"/>
      <c r="D19" s="117"/>
      <c r="E19" s="144"/>
      <c r="F19" s="141"/>
      <c r="G19" s="66"/>
      <c r="H19" s="66"/>
    </row>
    <row r="20" spans="1:8" ht="15.75" thickBot="1" x14ac:dyDescent="0.25">
      <c r="A20" s="151" t="s">
        <v>88</v>
      </c>
      <c r="B20" s="152"/>
      <c r="C20" s="153">
        <f>ROUND((((1+C12+C13)*(1+C14)*(1+C15))/(1-(C16+C17))-1),4)</f>
        <v>0.27700000000000002</v>
      </c>
      <c r="D20" s="157">
        <v>0.21429999999999999</v>
      </c>
      <c r="E20" s="158">
        <v>0.2717</v>
      </c>
      <c r="F20" s="159">
        <v>0.3362</v>
      </c>
      <c r="G20" s="66"/>
      <c r="H20" s="66"/>
    </row>
    <row r="21" spans="1:8" ht="14.25" x14ac:dyDescent="0.2">
      <c r="A21" s="66"/>
      <c r="B21" s="66"/>
      <c r="C21" s="66"/>
      <c r="D21" s="66"/>
      <c r="E21" s="67"/>
      <c r="F21" s="66"/>
      <c r="G21" s="66"/>
      <c r="H21" s="66"/>
    </row>
    <row r="22" spans="1:8" ht="14.25" x14ac:dyDescent="0.2">
      <c r="A22" s="66"/>
      <c r="B22" s="66"/>
      <c r="C22" s="66"/>
      <c r="D22" s="66"/>
      <c r="E22" s="67"/>
      <c r="F22" s="66"/>
      <c r="G22" s="66"/>
      <c r="H22" s="66"/>
    </row>
    <row r="23" spans="1:8" ht="14.25" x14ac:dyDescent="0.2">
      <c r="A23" s="66"/>
      <c r="B23" s="66"/>
      <c r="C23" s="66"/>
      <c r="D23" s="66"/>
      <c r="E23" s="67"/>
      <c r="F23" s="66"/>
      <c r="G23" s="66"/>
      <c r="H23" s="66"/>
    </row>
    <row r="24" spans="1:8" ht="14.25" x14ac:dyDescent="0.2">
      <c r="A24" s="66"/>
      <c r="B24" s="66"/>
      <c r="C24" s="66"/>
      <c r="D24" s="66"/>
      <c r="E24" s="67"/>
      <c r="F24" s="66"/>
      <c r="G24" s="66"/>
      <c r="H24" s="66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32" t="s">
        <v>231</v>
      </c>
      <c r="B1" s="333"/>
    </row>
    <row r="2" spans="1:2" s="43" customFormat="1" ht="19.5" customHeight="1" x14ac:dyDescent="0.2">
      <c r="A2" s="172" t="s">
        <v>208</v>
      </c>
      <c r="B2" s="173" t="s">
        <v>283</v>
      </c>
    </row>
    <row r="3" spans="1:2" ht="19.5" customHeight="1" x14ac:dyDescent="0.2">
      <c r="A3" s="79">
        <v>1</v>
      </c>
      <c r="B3" s="78">
        <v>33.629999999999995</v>
      </c>
    </row>
    <row r="4" spans="1:2" ht="19.5" customHeight="1" x14ac:dyDescent="0.2">
      <c r="A4" s="79">
        <v>2</v>
      </c>
      <c r="B4" s="78">
        <v>43.13</v>
      </c>
    </row>
    <row r="5" spans="1:2" ht="19.5" customHeight="1" x14ac:dyDescent="0.2">
      <c r="A5" s="79">
        <v>3</v>
      </c>
      <c r="B5" s="78">
        <v>48.68</v>
      </c>
    </row>
    <row r="6" spans="1:2" ht="19.5" customHeight="1" x14ac:dyDescent="0.2">
      <c r="A6" s="79">
        <v>4</v>
      </c>
      <c r="B6" s="78">
        <v>52.62</v>
      </c>
    </row>
    <row r="7" spans="1:2" ht="19.5" customHeight="1" x14ac:dyDescent="0.2">
      <c r="A7" s="79">
        <v>5</v>
      </c>
      <c r="B7" s="78">
        <v>55.679999999999993</v>
      </c>
    </row>
    <row r="8" spans="1:2" ht="19.5" customHeight="1" x14ac:dyDescent="0.2">
      <c r="A8" s="79">
        <v>6</v>
      </c>
      <c r="B8" s="78">
        <v>58.18</v>
      </c>
    </row>
    <row r="9" spans="1:2" ht="19.5" customHeight="1" x14ac:dyDescent="0.2">
      <c r="A9" s="79">
        <v>7</v>
      </c>
      <c r="B9" s="78">
        <v>60.29</v>
      </c>
    </row>
    <row r="10" spans="1:2" ht="19.5" customHeight="1" x14ac:dyDescent="0.2">
      <c r="A10" s="79">
        <v>8</v>
      </c>
      <c r="B10" s="78">
        <v>62.12</v>
      </c>
    </row>
    <row r="11" spans="1:2" ht="19.5" customHeight="1" x14ac:dyDescent="0.2">
      <c r="A11" s="79">
        <v>9</v>
      </c>
      <c r="B11" s="78">
        <v>63.73</v>
      </c>
    </row>
    <row r="12" spans="1:2" ht="19.5" customHeight="1" x14ac:dyDescent="0.2">
      <c r="A12" s="79">
        <v>10</v>
      </c>
      <c r="B12" s="78">
        <v>65.180000000000007</v>
      </c>
    </row>
    <row r="13" spans="1:2" ht="19.5" customHeight="1" x14ac:dyDescent="0.2">
      <c r="A13" s="79">
        <v>11</v>
      </c>
      <c r="B13" s="78">
        <v>66.47999999999999</v>
      </c>
    </row>
    <row r="14" spans="1:2" ht="19.5" customHeight="1" x14ac:dyDescent="0.2">
      <c r="A14" s="79">
        <v>12</v>
      </c>
      <c r="B14" s="78">
        <v>67.67</v>
      </c>
    </row>
    <row r="15" spans="1:2" ht="19.5" customHeight="1" x14ac:dyDescent="0.2">
      <c r="A15" s="79">
        <v>13</v>
      </c>
      <c r="B15" s="78">
        <v>68.77</v>
      </c>
    </row>
    <row r="16" spans="1:2" ht="19.5" customHeight="1" x14ac:dyDescent="0.2">
      <c r="A16" s="79">
        <v>14</v>
      </c>
      <c r="B16" s="78">
        <v>69.789999999999992</v>
      </c>
    </row>
    <row r="17" spans="1:2" ht="19.5" customHeight="1" thickBot="1" x14ac:dyDescent="0.25">
      <c r="A17" s="80">
        <v>15</v>
      </c>
      <c r="B17" s="81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163" t="s">
        <v>235</v>
      </c>
    </row>
    <row r="2" spans="1:1" x14ac:dyDescent="0.2">
      <c r="A2" s="160"/>
    </row>
    <row r="3" spans="1:1" x14ac:dyDescent="0.2">
      <c r="A3" s="160" t="s">
        <v>248</v>
      </c>
    </row>
    <row r="4" spans="1:1" x14ac:dyDescent="0.2">
      <c r="A4" s="160"/>
    </row>
    <row r="5" spans="1:1" x14ac:dyDescent="0.2">
      <c r="A5" s="160"/>
    </row>
    <row r="6" spans="1:1" x14ac:dyDescent="0.2">
      <c r="A6" s="160"/>
    </row>
    <row r="7" spans="1:1" x14ac:dyDescent="0.2">
      <c r="A7" s="160"/>
    </row>
    <row r="8" spans="1:1" x14ac:dyDescent="0.2">
      <c r="A8" s="160"/>
    </row>
    <row r="9" spans="1:1" x14ac:dyDescent="0.2">
      <c r="A9" s="160"/>
    </row>
    <row r="10" spans="1:1" x14ac:dyDescent="0.2">
      <c r="A10" s="160"/>
    </row>
    <row r="11" spans="1:1" x14ac:dyDescent="0.2">
      <c r="A11" s="160"/>
    </row>
    <row r="12" spans="1:1" ht="19.5" x14ac:dyDescent="0.35">
      <c r="A12" s="161" t="s">
        <v>232</v>
      </c>
    </row>
    <row r="13" spans="1:1" ht="15" x14ac:dyDescent="0.2">
      <c r="A13" s="161" t="s">
        <v>111</v>
      </c>
    </row>
    <row r="14" spans="1:1" ht="15" x14ac:dyDescent="0.2">
      <c r="A14" s="161" t="s">
        <v>116</v>
      </c>
    </row>
    <row r="15" spans="1:1" ht="19.5" x14ac:dyDescent="0.35">
      <c r="A15" s="161" t="s">
        <v>233</v>
      </c>
    </row>
    <row r="16" spans="1:1" ht="19.5" x14ac:dyDescent="0.35">
      <c r="A16" s="161" t="s">
        <v>234</v>
      </c>
    </row>
    <row r="17" spans="1:1" ht="15.75" thickBot="1" x14ac:dyDescent="0.25">
      <c r="A17" s="162" t="s">
        <v>112</v>
      </c>
    </row>
  </sheetData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C13" sqref="C13"/>
    </sheetView>
  </sheetViews>
  <sheetFormatPr defaultRowHeight="12.75" x14ac:dyDescent="0.2"/>
  <cols>
    <col min="1" max="1" width="58.28515625" style="178" customWidth="1"/>
    <col min="2" max="2" width="11.140625" style="178" bestFit="1" customWidth="1"/>
    <col min="3" max="3" width="11.28515625" style="178" bestFit="1" customWidth="1"/>
    <col min="4" max="16384" width="9.140625" style="178"/>
  </cols>
  <sheetData>
    <row r="1" spans="1:7" x14ac:dyDescent="0.2">
      <c r="A1" s="9" t="s">
        <v>206</v>
      </c>
    </row>
    <row r="2" spans="1:7" x14ac:dyDescent="0.2">
      <c r="A2" s="183" t="s">
        <v>259</v>
      </c>
    </row>
    <row r="3" spans="1:7" x14ac:dyDescent="0.2">
      <c r="A3" s="183" t="s">
        <v>284</v>
      </c>
    </row>
    <row r="4" spans="1:7" x14ac:dyDescent="0.2">
      <c r="A4" s="5" t="s">
        <v>282</v>
      </c>
    </row>
    <row r="5" spans="1:7" x14ac:dyDescent="0.2">
      <c r="A5" s="5"/>
    </row>
    <row r="6" spans="1:7" s="2" customFormat="1" ht="15.6" customHeight="1" x14ac:dyDescent="0.2">
      <c r="A6" s="203" t="s">
        <v>289</v>
      </c>
      <c r="B6" s="61"/>
      <c r="C6" s="61"/>
      <c r="D6" s="61"/>
      <c r="E6" s="61"/>
      <c r="F6" s="61"/>
      <c r="G6" s="4"/>
    </row>
    <row r="7" spans="1:7" s="2" customFormat="1" ht="16.5" customHeight="1" x14ac:dyDescent="0.2">
      <c r="A7" s="203" t="s">
        <v>286</v>
      </c>
      <c r="B7" s="3"/>
      <c r="C7" s="3"/>
      <c r="D7" s="4"/>
      <c r="E7" s="4"/>
      <c r="F7" s="4"/>
      <c r="G7" s="4"/>
    </row>
    <row r="8" spans="1:7" ht="13.5" thickBot="1" x14ac:dyDescent="0.25"/>
    <row r="9" spans="1:7" ht="18" x14ac:dyDescent="0.25">
      <c r="A9" s="334" t="s">
        <v>279</v>
      </c>
      <c r="B9" s="335"/>
      <c r="C9" s="336"/>
    </row>
    <row r="10" spans="1:7" s="184" customFormat="1" ht="18" x14ac:dyDescent="0.25">
      <c r="A10" s="199"/>
      <c r="B10" s="198"/>
      <c r="C10" s="200"/>
    </row>
    <row r="11" spans="1:7" s="43" customFormat="1" ht="15" x14ac:dyDescent="0.25">
      <c r="A11" s="185" t="s">
        <v>280</v>
      </c>
      <c r="B11" s="186" t="s">
        <v>260</v>
      </c>
      <c r="C11" s="187" t="s">
        <v>146</v>
      </c>
    </row>
    <row r="12" spans="1:7" ht="14.25" x14ac:dyDescent="0.2">
      <c r="A12" s="188" t="s">
        <v>268</v>
      </c>
      <c r="B12" s="189" t="s">
        <v>261</v>
      </c>
      <c r="C12" s="118">
        <v>12847</v>
      </c>
    </row>
    <row r="13" spans="1:7" ht="14.25" x14ac:dyDescent="0.2">
      <c r="A13" s="117" t="s">
        <v>269</v>
      </c>
      <c r="B13" s="190" t="s">
        <v>266</v>
      </c>
      <c r="C13" s="191">
        <f>0.0362741*C12^0.2336249</f>
        <v>0.33076156478090135</v>
      </c>
    </row>
    <row r="14" spans="1:7" ht="14.25" x14ac:dyDescent="0.2">
      <c r="A14" s="117" t="s">
        <v>270</v>
      </c>
      <c r="B14" s="190" t="s">
        <v>267</v>
      </c>
      <c r="C14" s="192">
        <f>C12*C13/1000</f>
        <v>4.2492938227402401</v>
      </c>
    </row>
    <row r="15" spans="1:7" ht="14.25" x14ac:dyDescent="0.2">
      <c r="A15" s="117" t="s">
        <v>276</v>
      </c>
      <c r="B15" s="190" t="s">
        <v>262</v>
      </c>
      <c r="C15" s="193">
        <f>(C14*30)</f>
        <v>127.4788146822072</v>
      </c>
    </row>
    <row r="16" spans="1:7" ht="14.25" x14ac:dyDescent="0.2">
      <c r="A16" s="117" t="s">
        <v>272</v>
      </c>
      <c r="B16" s="190" t="s">
        <v>93</v>
      </c>
      <c r="C16" s="196">
        <v>6</v>
      </c>
    </row>
    <row r="17" spans="1:3" ht="14.25" x14ac:dyDescent="0.2">
      <c r="A17" s="117" t="s">
        <v>271</v>
      </c>
      <c r="B17" s="190" t="s">
        <v>267</v>
      </c>
      <c r="C17" s="192">
        <f>IFERROR(C14*7/C16,0)</f>
        <v>4.9575094598636129</v>
      </c>
    </row>
    <row r="18" spans="1:3" ht="14.25" x14ac:dyDescent="0.2">
      <c r="A18" s="188" t="s">
        <v>263</v>
      </c>
      <c r="B18" s="190" t="s">
        <v>264</v>
      </c>
      <c r="C18" s="141">
        <v>500</v>
      </c>
    </row>
    <row r="19" spans="1:3" ht="14.25" x14ac:dyDescent="0.2">
      <c r="A19" s="117" t="s">
        <v>277</v>
      </c>
      <c r="B19" s="190"/>
      <c r="C19" s="118">
        <v>1</v>
      </c>
    </row>
    <row r="20" spans="1:3" ht="14.25" x14ac:dyDescent="0.2">
      <c r="A20" s="188" t="s">
        <v>278</v>
      </c>
      <c r="B20" s="190" t="s">
        <v>265</v>
      </c>
      <c r="C20" s="118">
        <v>15</v>
      </c>
    </row>
    <row r="21" spans="1:3" ht="14.25" x14ac:dyDescent="0.2">
      <c r="A21" s="117" t="s">
        <v>273</v>
      </c>
      <c r="B21" s="190" t="s">
        <v>262</v>
      </c>
      <c r="C21" s="141">
        <f>IF(AND(C20&gt;=15,C19=1),5.8,C20/2)</f>
        <v>5.8</v>
      </c>
    </row>
    <row r="22" spans="1:3" ht="14.25" x14ac:dyDescent="0.2">
      <c r="A22" s="188" t="s">
        <v>274</v>
      </c>
      <c r="B22" s="190"/>
      <c r="C22" s="192">
        <f>IFERROR(C17/C21,0)</f>
        <v>0.85474301032131261</v>
      </c>
    </row>
    <row r="23" spans="1:3" ht="14.25" x14ac:dyDescent="0.2">
      <c r="A23" s="188" t="s">
        <v>281</v>
      </c>
      <c r="B23" s="190"/>
      <c r="C23" s="201">
        <v>1</v>
      </c>
    </row>
    <row r="24" spans="1:3" ht="15" thickBot="1" x14ac:dyDescent="0.25">
      <c r="A24" s="194" t="s">
        <v>275</v>
      </c>
      <c r="B24" s="195"/>
      <c r="C24" s="197">
        <f>IFERROR(C22/C23,0)</f>
        <v>0.85474301032131261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Jucier Lopes Paiva</cp:lastModifiedBy>
  <cp:lastPrinted>2021-12-13T14:20:16Z</cp:lastPrinted>
  <dcterms:created xsi:type="dcterms:W3CDTF">2000-12-13T10:02:50Z</dcterms:created>
  <dcterms:modified xsi:type="dcterms:W3CDTF">2021-12-13T14:57:41Z</dcterms:modified>
</cp:coreProperties>
</file>